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BD44062E-A1B1-4098-9431-BDC7DC0EF82A}" xr6:coauthVersionLast="47" xr6:coauthVersionMax="47" xr10:uidLastSave="{00000000-0000-0000-0000-000000000000}"/>
  <bookViews>
    <workbookView xWindow="-108" yWindow="-108" windowWidth="23256" windowHeight="12576" tabRatio="1000" activeTab="2"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state="hidden" r:id="rId14"/>
    <sheet name="14. Facility 3 Warehouse" sheetId="42" r:id="rId15"/>
    <sheet name="15. Facility 4 Custom Hiring" sheetId="48" r:id="rId16"/>
    <sheet name="16.Facility 5 Agri Input" sheetId="53" r:id="rId17"/>
    <sheet name="17.Facility 6 Horti Processing " sheetId="84" state="hidden"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Warehouse'!$A$1:$K$52</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Details'!$A$1:$H$132</definedName>
    <definedName name="_xlnm.Print_Area" localSheetId="3">'3.Other Exp &amp; Taxes'!$A$1:$S$108</definedName>
    <definedName name="_xlnm.Print_Area" localSheetId="4">'4.TL repayment sch'!$A$1:$H$95</definedName>
    <definedName name="_xlnm.Print_Area" localSheetId="5">'5.Closing Stock &amp; W Capital'!$A$1:$L$59</definedName>
    <definedName name="_xlnm.Print_Area" localSheetId="6">'6.Cons Profit &amp; Loss'!$A$1:$H$56</definedName>
    <definedName name="_xlnm.Print_Area" localSheetId="7">'7.Balance Sheet'!$A$1:$I$50</definedName>
    <definedName name="_xlnm.Print_Area" localSheetId="8">'8.Cash Flow '!$A$1:$I$36</definedName>
    <definedName name="_xlnm.Print_Area" localSheetId="9">'9. Financial indiacators'!$B$1:$J$184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7" i="57" l="1"/>
  <c r="G50" i="57" l="1"/>
  <c r="G66" i="57"/>
  <c r="G56" i="57"/>
  <c r="G57" i="57"/>
  <c r="G58" i="57"/>
  <c r="G59" i="57"/>
  <c r="G60" i="57"/>
  <c r="G61" i="57"/>
  <c r="G62" i="57"/>
  <c r="G63" i="57"/>
  <c r="G64" i="57"/>
  <c r="G65" i="57"/>
  <c r="G30" i="57"/>
  <c r="B23" i="57" l="1"/>
  <c r="B24" i="57" s="1"/>
  <c r="B25" i="57" s="1"/>
  <c r="B26" i="57" s="1"/>
  <c r="B27" i="57" s="1"/>
  <c r="L31" i="55" l="1"/>
  <c r="L30" i="55"/>
  <c r="C210" i="53" l="1"/>
  <c r="C209" i="53"/>
  <c r="C208" i="53"/>
  <c r="C207" i="53"/>
  <c r="C206" i="53"/>
  <c r="C204" i="53"/>
  <c r="C203" i="53"/>
  <c r="C202" i="53"/>
  <c r="C201" i="53"/>
  <c r="C200" i="53"/>
  <c r="C199" i="53"/>
  <c r="C198" i="53"/>
  <c r="C197" i="53"/>
  <c r="C90" i="81"/>
  <c r="D90" i="81" s="1"/>
  <c r="E90" i="81" s="1"/>
  <c r="F90" i="81" s="1"/>
  <c r="G90" i="81" s="1"/>
  <c r="H90" i="81" s="1"/>
  <c r="B6" i="42"/>
  <c r="B11" i="42" s="1"/>
  <c r="D41" i="42" s="1"/>
  <c r="D296" i="55"/>
  <c r="D295" i="55"/>
  <c r="E8" i="22"/>
  <c r="G55" i="57"/>
  <c r="D22" i="42" l="1"/>
  <c r="M16" i="48" l="1"/>
  <c r="F16" i="48"/>
  <c r="H16" i="48" s="1"/>
  <c r="J16" i="48" s="1"/>
  <c r="M15" i="48"/>
  <c r="F15" i="48"/>
  <c r="H15" i="48" s="1"/>
  <c r="J15" i="48" s="1"/>
  <c r="M14" i="48"/>
  <c r="F14" i="48"/>
  <c r="H14" i="48" s="1"/>
  <c r="J14" i="48" s="1"/>
  <c r="M13" i="48"/>
  <c r="F13" i="48"/>
  <c r="H13" i="48" s="1"/>
  <c r="J13" i="48" s="1"/>
  <c r="B14" i="48"/>
  <c r="B13" i="48"/>
  <c r="B10" i="48"/>
  <c r="B9" i="48"/>
  <c r="G29" i="57"/>
  <c r="D24" i="42" l="1"/>
  <c r="D29" i="42"/>
  <c r="D28" i="42"/>
  <c r="C34" i="48"/>
  <c r="B8" i="48"/>
  <c r="D39" i="42"/>
  <c r="B7" i="81"/>
  <c r="B9" i="81" s="1"/>
  <c r="C23" i="81" s="1"/>
  <c r="G51" i="57"/>
  <c r="G54" i="57"/>
  <c r="G53" i="57"/>
  <c r="B7" i="83"/>
  <c r="B9" i="83" s="1"/>
  <c r="D18" i="83" s="1"/>
  <c r="B113" i="81"/>
  <c r="C30" i="53" s="1"/>
  <c r="C83" i="53" s="1"/>
  <c r="C31" i="53"/>
  <c r="C84" i="53" s="1"/>
  <c r="C182" i="53"/>
  <c r="B63" i="55"/>
  <c r="B32" i="55"/>
  <c r="B162" i="55"/>
  <c r="D221" i="55" s="1"/>
  <c r="B163" i="55"/>
  <c r="D222" i="55" s="1"/>
  <c r="B164" i="55"/>
  <c r="D223" i="55" s="1"/>
  <c r="B34" i="72"/>
  <c r="C139" i="72"/>
  <c r="C140" i="72"/>
  <c r="C141" i="72"/>
  <c r="C142" i="72"/>
  <c r="B41" i="84"/>
  <c r="F8" i="48"/>
  <c r="H8" i="48" s="1"/>
  <c r="J8" i="48" s="1"/>
  <c r="D28" i="48"/>
  <c r="F9" i="48"/>
  <c r="H9" i="48" s="1"/>
  <c r="C29" i="48" s="1"/>
  <c r="D29" i="48"/>
  <c r="F10" i="48"/>
  <c r="H10" i="48" s="1"/>
  <c r="J10" i="48" s="1"/>
  <c r="D30" i="48"/>
  <c r="F11" i="48"/>
  <c r="H11" i="48" s="1"/>
  <c r="C31" i="48" s="1"/>
  <c r="D31" i="48"/>
  <c r="F12" i="48"/>
  <c r="H12" i="48" s="1"/>
  <c r="C32" i="48" s="1"/>
  <c r="D32" i="48"/>
  <c r="C33" i="48"/>
  <c r="D33" i="48"/>
  <c r="D34" i="48"/>
  <c r="C35" i="48"/>
  <c r="D35" i="48"/>
  <c r="C36" i="48"/>
  <c r="D36" i="48"/>
  <c r="C37" i="48"/>
  <c r="D37" i="48"/>
  <c r="C38" i="48"/>
  <c r="D38" i="48"/>
  <c r="D205" i="53"/>
  <c r="D214" i="53"/>
  <c r="D243" i="53"/>
  <c r="H69" i="57"/>
  <c r="B283" i="55" s="1"/>
  <c r="D255" i="55"/>
  <c r="D279" i="55"/>
  <c r="D280" i="55"/>
  <c r="H47" i="57"/>
  <c r="B158" i="72" s="1"/>
  <c r="O11" i="61" s="1"/>
  <c r="H75" i="57"/>
  <c r="B166" i="84" s="1"/>
  <c r="V11" i="61" s="1"/>
  <c r="J17" i="48"/>
  <c r="M8" i="48"/>
  <c r="M9" i="48"/>
  <c r="M10" i="48"/>
  <c r="M11" i="48"/>
  <c r="M12" i="48"/>
  <c r="M17" i="48"/>
  <c r="D30" i="42"/>
  <c r="G8" i="57"/>
  <c r="G12" i="57" s="1"/>
  <c r="G9" i="57"/>
  <c r="G10" i="57"/>
  <c r="G11" i="57"/>
  <c r="G49" i="57"/>
  <c r="G69" i="57" s="1"/>
  <c r="G52" i="57"/>
  <c r="G34" i="57"/>
  <c r="G35" i="57"/>
  <c r="G36" i="57"/>
  <c r="G37" i="57"/>
  <c r="G38" i="57"/>
  <c r="G39" i="57"/>
  <c r="G40" i="57"/>
  <c r="G41" i="57"/>
  <c r="G42" i="57"/>
  <c r="G43" i="57"/>
  <c r="G44" i="57"/>
  <c r="G45" i="57"/>
  <c r="G46" i="57"/>
  <c r="G21" i="57"/>
  <c r="G22" i="57"/>
  <c r="G23" i="57"/>
  <c r="G24" i="57"/>
  <c r="G25" i="57"/>
  <c r="G26" i="57"/>
  <c r="G27" i="57"/>
  <c r="G28" i="57"/>
  <c r="G71" i="57"/>
  <c r="G75" i="57" s="1"/>
  <c r="F86" i="57"/>
  <c r="F87" i="57"/>
  <c r="F88" i="57"/>
  <c r="F89" i="57"/>
  <c r="F90" i="57"/>
  <c r="F91" i="57"/>
  <c r="F101" i="57"/>
  <c r="F102" i="57"/>
  <c r="F103" i="57"/>
  <c r="F104" i="57"/>
  <c r="F105" i="57"/>
  <c r="F114" i="57"/>
  <c r="F115" i="57"/>
  <c r="F116" i="57"/>
  <c r="D129" i="57"/>
  <c r="F23" i="22"/>
  <c r="E23" i="22"/>
  <c r="E22" i="22"/>
  <c r="E21" i="22"/>
  <c r="E20" i="22"/>
  <c r="E19" i="22"/>
  <c r="E18" i="22"/>
  <c r="E17" i="22"/>
  <c r="B9" i="68"/>
  <c r="E9" i="22"/>
  <c r="E10" i="22"/>
  <c r="E11" i="22"/>
  <c r="E12" i="22"/>
  <c r="E13" i="22"/>
  <c r="E14" i="22"/>
  <c r="E15" i="22"/>
  <c r="E16" i="22"/>
  <c r="D294" i="55"/>
  <c r="D301" i="55" s="1"/>
  <c r="B28" i="21" s="1"/>
  <c r="D172" i="72"/>
  <c r="D177" i="72" s="1"/>
  <c r="B29" i="21" s="1"/>
  <c r="D38" i="42"/>
  <c r="E52" i="48"/>
  <c r="D180" i="84"/>
  <c r="D181" i="84"/>
  <c r="D265" i="53"/>
  <c r="D266" i="53"/>
  <c r="D267" i="53"/>
  <c r="D268" i="53"/>
  <c r="C10" i="62"/>
  <c r="C9" i="62"/>
  <c r="C8" i="62"/>
  <c r="C7" i="62"/>
  <c r="C6" i="62"/>
  <c r="C5" i="62"/>
  <c r="C40" i="81"/>
  <c r="D40" i="81" s="1"/>
  <c r="E40" i="81" s="1"/>
  <c r="F40" i="81" s="1"/>
  <c r="G40" i="81" s="1"/>
  <c r="H40" i="81" s="1"/>
  <c r="H63" i="55"/>
  <c r="E172" i="55"/>
  <c r="E279" i="55" s="1"/>
  <c r="H32" i="55"/>
  <c r="C44" i="83"/>
  <c r="D44" i="83" s="1"/>
  <c r="E44" i="83" s="1"/>
  <c r="F44" i="83" s="1"/>
  <c r="G44" i="83" s="1"/>
  <c r="H44" i="83" s="1"/>
  <c r="G63" i="55"/>
  <c r="G32" i="55"/>
  <c r="F63" i="55"/>
  <c r="F32" i="55"/>
  <c r="E63" i="55"/>
  <c r="E32" i="55"/>
  <c r="D63" i="55"/>
  <c r="D32" i="55"/>
  <c r="C63" i="55"/>
  <c r="C32" i="55"/>
  <c r="C72" i="83"/>
  <c r="D72" i="83" s="1"/>
  <c r="E72" i="83" s="1"/>
  <c r="F72" i="83" s="1"/>
  <c r="G72" i="83" s="1"/>
  <c r="H72" i="83" s="1"/>
  <c r="E149" i="84"/>
  <c r="F149" i="84" s="1"/>
  <c r="G149" i="84" s="1"/>
  <c r="K12" i="83"/>
  <c r="L12" i="83" s="1"/>
  <c r="M12" i="83" s="1"/>
  <c r="N12" i="83" s="1"/>
  <c r="H31" i="84"/>
  <c r="H32" i="84"/>
  <c r="H33" i="84"/>
  <c r="C74" i="83"/>
  <c r="C13" i="84" s="1"/>
  <c r="C65" i="81"/>
  <c r="D65" i="81" s="1"/>
  <c r="E65" i="81" s="1"/>
  <c r="F65" i="81" s="1"/>
  <c r="G65" i="81" s="1"/>
  <c r="H65" i="81" s="1"/>
  <c r="C33" i="72"/>
  <c r="E133" i="72"/>
  <c r="F133" i="72" s="1"/>
  <c r="F16" i="22"/>
  <c r="F13" i="22"/>
  <c r="F12" i="22"/>
  <c r="F10" i="22"/>
  <c r="E124" i="53"/>
  <c r="E266" i="53" s="1"/>
  <c r="I31" i="53"/>
  <c r="I84" i="53" s="1"/>
  <c r="C100" i="83"/>
  <c r="D100" i="83" s="1"/>
  <c r="E100" i="83" s="1"/>
  <c r="F100" i="83" s="1"/>
  <c r="G100" i="83" s="1"/>
  <c r="H100" i="83" s="1"/>
  <c r="H31" i="53"/>
  <c r="H84" i="53" s="1"/>
  <c r="G31" i="53"/>
  <c r="G84" i="53" s="1"/>
  <c r="F31" i="53"/>
  <c r="F84" i="53" s="1"/>
  <c r="E31" i="53"/>
  <c r="E84" i="53" s="1"/>
  <c r="D31" i="53"/>
  <c r="D84" i="53" s="1"/>
  <c r="E219" i="53" s="1"/>
  <c r="F23" i="48"/>
  <c r="G23" i="48" s="1"/>
  <c r="E18" i="42"/>
  <c r="F18" i="42" s="1"/>
  <c r="F29" i="42" s="1"/>
  <c r="C162" i="55"/>
  <c r="C163" i="55"/>
  <c r="E222" i="55" s="1"/>
  <c r="C164" i="55"/>
  <c r="C10" i="42"/>
  <c r="C11" i="42" s="1"/>
  <c r="D162" i="55"/>
  <c r="D163" i="55"/>
  <c r="D164" i="55"/>
  <c r="E162" i="55"/>
  <c r="E163" i="55"/>
  <c r="E164" i="55"/>
  <c r="F162" i="55"/>
  <c r="F163" i="55"/>
  <c r="F164" i="55"/>
  <c r="G162" i="55"/>
  <c r="G163" i="55"/>
  <c r="G164" i="55"/>
  <c r="H162" i="55"/>
  <c r="H163" i="55"/>
  <c r="H164" i="55"/>
  <c r="A42" i="81"/>
  <c r="A67" i="81" s="1"/>
  <c r="A67" i="83"/>
  <c r="A95" i="83" s="1"/>
  <c r="A123" i="83" s="1"/>
  <c r="A54" i="53" s="1"/>
  <c r="A66" i="83"/>
  <c r="A94" i="83" s="1"/>
  <c r="A65" i="83"/>
  <c r="A93" i="83" s="1"/>
  <c r="A64" i="83"/>
  <c r="A92" i="8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R9" i="61" s="1"/>
  <c r="N9" i="61"/>
  <c r="R8" i="61"/>
  <c r="Q8" i="61"/>
  <c r="P8" i="61"/>
  <c r="O8" i="61"/>
  <c r="C15" i="61"/>
  <c r="C16" i="61"/>
  <c r="I174" i="29"/>
  <c r="H174" i="29"/>
  <c r="G174" i="29"/>
  <c r="F174" i="29"/>
  <c r="E174" i="29"/>
  <c r="D174" i="29"/>
  <c r="C174" i="29"/>
  <c r="B129" i="29"/>
  <c r="B144" i="29" s="1"/>
  <c r="B159" i="29" s="1"/>
  <c r="B174" i="29" s="1"/>
  <c r="B128" i="29"/>
  <c r="B143" i="29" s="1"/>
  <c r="B158" i="29" s="1"/>
  <c r="B173" i="29" s="1"/>
  <c r="I159" i="29"/>
  <c r="H159" i="29"/>
  <c r="G159" i="29"/>
  <c r="F159" i="29"/>
  <c r="E159" i="29"/>
  <c r="D159" i="29"/>
  <c r="C159" i="29"/>
  <c r="I144" i="29"/>
  <c r="H144" i="29"/>
  <c r="G144" i="29"/>
  <c r="F144" i="29"/>
  <c r="E144" i="29"/>
  <c r="D144" i="29"/>
  <c r="C144" i="29"/>
  <c r="I129" i="29"/>
  <c r="H129" i="29"/>
  <c r="G129" i="29"/>
  <c r="F129" i="29"/>
  <c r="E129" i="29"/>
  <c r="D129" i="29"/>
  <c r="C129" i="29"/>
  <c r="B127" i="29"/>
  <c r="B142" i="29" s="1"/>
  <c r="B157" i="29" s="1"/>
  <c r="B172" i="29" s="1"/>
  <c r="B126" i="29"/>
  <c r="B141" i="29" s="1"/>
  <c r="B156" i="29" s="1"/>
  <c r="B171" i="29" s="1"/>
  <c r="B125" i="29"/>
  <c r="B140" i="29" s="1"/>
  <c r="B155" i="29" s="1"/>
  <c r="B170" i="29" s="1"/>
  <c r="B124" i="29"/>
  <c r="B139" i="29" s="1"/>
  <c r="B154" i="29" s="1"/>
  <c r="B169" i="29" s="1"/>
  <c r="B123" i="29"/>
  <c r="B138" i="29" s="1"/>
  <c r="B153" i="29" s="1"/>
  <c r="B168" i="29" s="1"/>
  <c r="B37" i="29"/>
  <c r="B36" i="29"/>
  <c r="B35" i="29"/>
  <c r="B34" i="29"/>
  <c r="B33" i="29"/>
  <c r="B32" i="29"/>
  <c r="C52" i="61"/>
  <c r="C51" i="61"/>
  <c r="C50" i="61"/>
  <c r="C49" i="61"/>
  <c r="C48" i="61"/>
  <c r="C47" i="61"/>
  <c r="A23" i="21"/>
  <c r="A33" i="21" s="1"/>
  <c r="A156" i="84"/>
  <c r="A155" i="84"/>
  <c r="A154" i="84"/>
  <c r="A54" i="55"/>
  <c r="A111" i="55" s="1"/>
  <c r="A163" i="55" s="1"/>
  <c r="A222" i="55" s="1"/>
  <c r="A179" i="53"/>
  <c r="A243" i="53" s="1"/>
  <c r="A70" i="83"/>
  <c r="A69" i="83"/>
  <c r="A97" i="83" s="1"/>
  <c r="A68" i="83"/>
  <c r="A96" i="83" s="1"/>
  <c r="A63" i="83"/>
  <c r="A91" i="83" s="1"/>
  <c r="A62" i="83"/>
  <c r="A90" i="83" s="1"/>
  <c r="A118" i="83" s="1"/>
  <c r="A49" i="53" s="1"/>
  <c r="A61" i="83"/>
  <c r="A89" i="83" s="1"/>
  <c r="A60" i="83"/>
  <c r="A88" i="83" s="1"/>
  <c r="A116" i="83" s="1"/>
  <c r="A47" i="53" s="1"/>
  <c r="A168" i="53" s="1"/>
  <c r="A235" i="53" s="1"/>
  <c r="A59" i="83"/>
  <c r="A87" i="83" s="1"/>
  <c r="A58" i="83"/>
  <c r="A86" i="83" s="1"/>
  <c r="A57" i="83"/>
  <c r="A85" i="83" s="1"/>
  <c r="A113" i="83" s="1"/>
  <c r="A44" i="53" s="1"/>
  <c r="A56" i="83"/>
  <c r="A84" i="83" s="1"/>
  <c r="A55" i="83"/>
  <c r="A83" i="83" s="1"/>
  <c r="A54" i="83"/>
  <c r="A82" i="83" s="1"/>
  <c r="A53" i="83"/>
  <c r="A81" i="83" s="1"/>
  <c r="A52" i="83"/>
  <c r="A80" i="83" s="1"/>
  <c r="A51" i="83"/>
  <c r="A79" i="83" s="1"/>
  <c r="A50" i="83"/>
  <c r="A78" i="83" s="1"/>
  <c r="A49" i="83"/>
  <c r="A77" i="83" s="1"/>
  <c r="A105" i="83" s="1"/>
  <c r="A36" i="53" s="1"/>
  <c r="A48" i="83"/>
  <c r="A76" i="83" s="1"/>
  <c r="A47" i="83"/>
  <c r="A75" i="83" s="1"/>
  <c r="A46" i="83"/>
  <c r="A74" i="83" s="1"/>
  <c r="A32" i="53"/>
  <c r="A153" i="53" s="1"/>
  <c r="A220" i="53" s="1"/>
  <c r="A31" i="53"/>
  <c r="A84" i="53" s="1"/>
  <c r="A62" i="81"/>
  <c r="A61" i="81"/>
  <c r="A86" i="81" s="1"/>
  <c r="A111" i="81" s="1"/>
  <c r="A29" i="53" s="1"/>
  <c r="A82" i="53" s="1"/>
  <c r="A60" i="81"/>
  <c r="A43" i="81"/>
  <c r="A68" i="81" s="1"/>
  <c r="A14" i="72" s="1"/>
  <c r="A38" i="72" s="1"/>
  <c r="A62" i="72" s="1"/>
  <c r="A34" i="55"/>
  <c r="A91" i="55" s="1"/>
  <c r="A143" i="55" s="1"/>
  <c r="A202" i="55" s="1"/>
  <c r="A256" i="55" s="1"/>
  <c r="A36" i="55"/>
  <c r="A93" i="55" s="1"/>
  <c r="A145" i="55" s="1"/>
  <c r="A204" i="55" s="1"/>
  <c r="A258" i="55" s="1"/>
  <c r="A38" i="55"/>
  <c r="A95" i="55" s="1"/>
  <c r="A147" i="55" s="1"/>
  <c r="A206" i="55" s="1"/>
  <c r="A260" i="55" s="1"/>
  <c r="A45" i="55"/>
  <c r="A102" i="55" s="1"/>
  <c r="A154" i="55" s="1"/>
  <c r="A213" i="55" s="1"/>
  <c r="A267" i="55" s="1"/>
  <c r="A57" i="55"/>
  <c r="A114" i="55" s="1"/>
  <c r="A166" i="55" s="1"/>
  <c r="A225" i="55" s="1"/>
  <c r="A276" i="55" s="1"/>
  <c r="A279" i="55"/>
  <c r="A280" i="55"/>
  <c r="A255" i="55"/>
  <c r="A254" i="55"/>
  <c r="A59" i="81"/>
  <c r="A28" i="55" s="1"/>
  <c r="A85" i="55" s="1"/>
  <c r="A137" i="55" s="1"/>
  <c r="A195" i="55" s="1"/>
  <c r="A250" i="55" s="1"/>
  <c r="A27" i="84"/>
  <c r="A58" i="84" s="1"/>
  <c r="A119" i="84" s="1"/>
  <c r="C40" i="84"/>
  <c r="D40" i="84" s="1"/>
  <c r="F52" i="48"/>
  <c r="G43" i="21"/>
  <c r="H43" i="21"/>
  <c r="J97" i="29" s="1"/>
  <c r="H88" i="22"/>
  <c r="I88" i="22"/>
  <c r="A62" i="22"/>
  <c r="A63" i="22"/>
  <c r="A64" i="22"/>
  <c r="A65" i="22"/>
  <c r="H32" i="57"/>
  <c r="C65" i="29"/>
  <c r="D65" i="29" s="1"/>
  <c r="E65" i="29" s="1"/>
  <c r="F65" i="29" s="1"/>
  <c r="G65" i="29" s="1"/>
  <c r="H65" i="29" s="1"/>
  <c r="I65" i="29" s="1"/>
  <c r="V12" i="83"/>
  <c r="W12" i="83" s="1"/>
  <c r="X12" i="83" s="1"/>
  <c r="P12" i="83"/>
  <c r="Q12" i="83" s="1"/>
  <c r="R12" i="83" s="1"/>
  <c r="S12" i="83" s="1"/>
  <c r="T12" i="83" s="1"/>
  <c r="K12" i="81"/>
  <c r="L12" i="81" s="1"/>
  <c r="M12" i="81" s="1"/>
  <c r="N12" i="81" s="1"/>
  <c r="A44" i="81"/>
  <c r="A69" i="81" s="1"/>
  <c r="A15" i="72" s="1"/>
  <c r="A39" i="72" s="1"/>
  <c r="A65" i="72" s="1"/>
  <c r="F17" i="48"/>
  <c r="A26" i="53"/>
  <c r="A147" i="53" s="1"/>
  <c r="A214" i="53" s="1"/>
  <c r="A58" i="81"/>
  <c r="A83" i="81" s="1"/>
  <c r="A57" i="81"/>
  <c r="A82" i="81" s="1"/>
  <c r="A56" i="81"/>
  <c r="A81" i="81" s="1"/>
  <c r="A55" i="81"/>
  <c r="A80" i="81" s="1"/>
  <c r="A54" i="81"/>
  <c r="A79" i="81" s="1"/>
  <c r="A53" i="81"/>
  <c r="A78" i="81" s="1"/>
  <c r="A52" i="81"/>
  <c r="A77" i="81" s="1"/>
  <c r="A51" i="81"/>
  <c r="A76" i="81" s="1"/>
  <c r="A138" i="53"/>
  <c r="A205" i="53" s="1"/>
  <c r="A49" i="81"/>
  <c r="A74" i="81" s="1"/>
  <c r="A48" i="81"/>
  <c r="A73" i="81" s="1"/>
  <c r="A47" i="81"/>
  <c r="A72" i="81" s="1"/>
  <c r="A46" i="81"/>
  <c r="A71" i="81" s="1"/>
  <c r="A96" i="81" s="1"/>
  <c r="A13" i="53" s="1"/>
  <c r="A45" i="81"/>
  <c r="A70" i="81" s="1"/>
  <c r="A129" i="53"/>
  <c r="A61" i="53"/>
  <c r="A70" i="53"/>
  <c r="A50" i="81"/>
  <c r="A75" i="81" s="1"/>
  <c r="A121" i="72"/>
  <c r="A27" i="55"/>
  <c r="A84" i="55" s="1"/>
  <c r="A136" i="55" s="1"/>
  <c r="A194" i="55" s="1"/>
  <c r="A249" i="55" s="1"/>
  <c r="A23" i="55"/>
  <c r="A80" i="55" s="1"/>
  <c r="A132" i="55" s="1"/>
  <c r="A190" i="55" s="1"/>
  <c r="A245" i="55" s="1"/>
  <c r="A13" i="55"/>
  <c r="A70" i="55" s="1"/>
  <c r="A122" i="55" s="1"/>
  <c r="A180" i="55" s="1"/>
  <c r="A235" i="55" s="1"/>
  <c r="A11" i="55"/>
  <c r="A68" i="55" s="1"/>
  <c r="A120" i="55" s="1"/>
  <c r="A178" i="55" s="1"/>
  <c r="A233" i="55" s="1"/>
  <c r="A32" i="55"/>
  <c r="A89" i="55" s="1"/>
  <c r="A141" i="55" s="1"/>
  <c r="V12" i="81"/>
  <c r="W12" i="81" s="1"/>
  <c r="X12" i="81" s="1"/>
  <c r="P12" i="81"/>
  <c r="Q12" i="81" s="1"/>
  <c r="R12" i="81" s="1"/>
  <c r="S12" i="81" s="1"/>
  <c r="T12" i="81" s="1"/>
  <c r="A32" i="48"/>
  <c r="A31" i="48"/>
  <c r="A30" i="48"/>
  <c r="A29" i="48"/>
  <c r="A28" i="48"/>
  <c r="B98" i="29"/>
  <c r="B97" i="29"/>
  <c r="B96" i="29"/>
  <c r="B95" i="29"/>
  <c r="A20" i="21"/>
  <c r="A30" i="21" s="1"/>
  <c r="A19" i="21"/>
  <c r="A29" i="21" s="1"/>
  <c r="A18" i="21"/>
  <c r="A28" i="21" s="1"/>
  <c r="A21" i="21"/>
  <c r="A31" i="21" s="1"/>
  <c r="A22" i="21"/>
  <c r="A32" i="21" s="1"/>
  <c r="K145" i="72"/>
  <c r="H28" i="69"/>
  <c r="B16" i="68"/>
  <c r="B15" i="68"/>
  <c r="A251" i="53"/>
  <c r="A250" i="53"/>
  <c r="A249" i="53"/>
  <c r="A247" i="53"/>
  <c r="A246" i="53"/>
  <c r="A245" i="53"/>
  <c r="A244" i="53"/>
  <c r="A195" i="53"/>
  <c r="A84" i="81" l="1"/>
  <c r="A109" i="81" s="1"/>
  <c r="A27" i="53" s="1"/>
  <c r="A148" i="53" s="1"/>
  <c r="A215" i="53" s="1"/>
  <c r="A51" i="55"/>
  <c r="A108" i="55" s="1"/>
  <c r="A160" i="55" s="1"/>
  <c r="A219" i="55" s="1"/>
  <c r="A273" i="55" s="1"/>
  <c r="G89" i="55"/>
  <c r="G141" i="55" s="1"/>
  <c r="E38" i="48"/>
  <c r="A15" i="55"/>
  <c r="A72" i="55" s="1"/>
  <c r="A124" i="55" s="1"/>
  <c r="A182" i="55" s="1"/>
  <c r="A237" i="55" s="1"/>
  <c r="A150" i="53"/>
  <c r="A217" i="53" s="1"/>
  <c r="A30" i="55"/>
  <c r="A87" i="55" s="1"/>
  <c r="A139" i="55" s="1"/>
  <c r="A197" i="55" s="1"/>
  <c r="A252" i="55" s="1"/>
  <c r="A47" i="55"/>
  <c r="A104" i="55" s="1"/>
  <c r="A156" i="55" s="1"/>
  <c r="A215" i="55" s="1"/>
  <c r="A269" i="55" s="1"/>
  <c r="E180" i="84"/>
  <c r="E89" i="55"/>
  <c r="A29" i="84"/>
  <c r="A60" i="84" s="1"/>
  <c r="A121" i="84" s="1"/>
  <c r="F9" i="22"/>
  <c r="F14" i="22"/>
  <c r="D89" i="55"/>
  <c r="D141" i="55" s="1"/>
  <c r="F18" i="22"/>
  <c r="D10" i="62"/>
  <c r="C87" i="22" s="1"/>
  <c r="E34" i="48"/>
  <c r="E294" i="55"/>
  <c r="A39" i="55"/>
  <c r="A96" i="55" s="1"/>
  <c r="A148" i="55" s="1"/>
  <c r="A207" i="55" s="1"/>
  <c r="A261" i="55" s="1"/>
  <c r="A53" i="55"/>
  <c r="A110" i="55" s="1"/>
  <c r="A162" i="55" s="1"/>
  <c r="A221" i="55" s="1"/>
  <c r="F11" i="22"/>
  <c r="F15" i="22"/>
  <c r="E280" i="55"/>
  <c r="F22" i="22"/>
  <c r="D40" i="42"/>
  <c r="E40" i="42" s="1"/>
  <c r="F40" i="42" s="1"/>
  <c r="G40" i="42" s="1"/>
  <c r="H40" i="42" s="1"/>
  <c r="I40" i="42" s="1"/>
  <c r="J40" i="42" s="1"/>
  <c r="G32" i="57"/>
  <c r="A25" i="55"/>
  <c r="A82" i="55" s="1"/>
  <c r="A134" i="55" s="1"/>
  <c r="A192" i="55" s="1"/>
  <c r="A247" i="55" s="1"/>
  <c r="H61" i="29"/>
  <c r="A46" i="55"/>
  <c r="A103" i="55" s="1"/>
  <c r="A155" i="55" s="1"/>
  <c r="A214" i="55" s="1"/>
  <c r="A268" i="55" s="1"/>
  <c r="A58" i="55"/>
  <c r="A115" i="55" s="1"/>
  <c r="A167" i="55" s="1"/>
  <c r="A226" i="55" s="1"/>
  <c r="A277" i="55" s="1"/>
  <c r="A41" i="55"/>
  <c r="A98" i="55" s="1"/>
  <c r="A150" i="55" s="1"/>
  <c r="A209" i="55" s="1"/>
  <c r="A263" i="55" s="1"/>
  <c r="A55" i="55"/>
  <c r="A112" i="55" s="1"/>
  <c r="A164" i="55" s="1"/>
  <c r="A223" i="55" s="1"/>
  <c r="H77" i="57"/>
  <c r="H89" i="55"/>
  <c r="B89" i="55"/>
  <c r="B141" i="55" s="1"/>
  <c r="D199" i="55" s="1"/>
  <c r="A85" i="53"/>
  <c r="A49" i="55"/>
  <c r="A106" i="55" s="1"/>
  <c r="A158" i="55" s="1"/>
  <c r="A217" i="55" s="1"/>
  <c r="A271" i="55" s="1"/>
  <c r="A42" i="55"/>
  <c r="A99" i="55" s="1"/>
  <c r="A151" i="55" s="1"/>
  <c r="A210" i="55" s="1"/>
  <c r="A264" i="55" s="1"/>
  <c r="E41" i="42"/>
  <c r="E221" i="55"/>
  <c r="C89" i="55"/>
  <c r="F106" i="57"/>
  <c r="F89" i="55"/>
  <c r="F141" i="55" s="1"/>
  <c r="F20" i="22"/>
  <c r="E32" i="48"/>
  <c r="A17" i="55"/>
  <c r="A74" i="55" s="1"/>
  <c r="A126" i="55" s="1"/>
  <c r="A184" i="55" s="1"/>
  <c r="A239" i="55" s="1"/>
  <c r="A80" i="53"/>
  <c r="A152" i="53"/>
  <c r="A219" i="53" s="1"/>
  <c r="A37" i="55"/>
  <c r="A94" i="55" s="1"/>
  <c r="A146" i="55" s="1"/>
  <c r="A205" i="55" s="1"/>
  <c r="A259" i="55" s="1"/>
  <c r="A34" i="84"/>
  <c r="A62" i="84" s="1"/>
  <c r="A123" i="84" s="1"/>
  <c r="F181" i="84"/>
  <c r="F124" i="53"/>
  <c r="F265" i="53" s="1"/>
  <c r="A93" i="81"/>
  <c r="A10" i="53" s="1"/>
  <c r="C41" i="84"/>
  <c r="C44" i="84" s="1"/>
  <c r="A52" i="55"/>
  <c r="A109" i="55" s="1"/>
  <c r="A161" i="55" s="1"/>
  <c r="A220" i="55" s="1"/>
  <c r="A274" i="55" s="1"/>
  <c r="E181" i="84"/>
  <c r="E185" i="84" s="1"/>
  <c r="C33" i="21" s="1"/>
  <c r="F38" i="48"/>
  <c r="F17" i="22"/>
  <c r="F19" i="22"/>
  <c r="F21" i="22"/>
  <c r="D40" i="83"/>
  <c r="F40" i="83" s="1"/>
  <c r="H40" i="83" s="1"/>
  <c r="F172" i="55"/>
  <c r="F279" i="55" s="1"/>
  <c r="E295" i="55"/>
  <c r="E296" i="55"/>
  <c r="I97" i="29"/>
  <c r="A12" i="55"/>
  <c r="A69" i="55" s="1"/>
  <c r="A121" i="55" s="1"/>
  <c r="A179" i="55" s="1"/>
  <c r="A234" i="55" s="1"/>
  <c r="F180" i="84"/>
  <c r="D19" i="83"/>
  <c r="F19" i="83" s="1"/>
  <c r="H19" i="83" s="1"/>
  <c r="G23" i="22"/>
  <c r="F8" i="22"/>
  <c r="E24" i="22"/>
  <c r="B35" i="21" s="1"/>
  <c r="G180" i="84"/>
  <c r="G181" i="84"/>
  <c r="A109" i="83"/>
  <c r="A40" i="53" s="1"/>
  <c r="A161" i="53" s="1"/>
  <c r="A228" i="53" s="1"/>
  <c r="A20" i="84"/>
  <c r="A51" i="84" s="1"/>
  <c r="A94" i="84" s="1"/>
  <c r="A98" i="81"/>
  <c r="A15" i="53" s="1"/>
  <c r="A136" i="53" s="1"/>
  <c r="A203" i="53" s="1"/>
  <c r="A19" i="72"/>
  <c r="A43" i="72" s="1"/>
  <c r="A80" i="72" s="1"/>
  <c r="A63" i="53"/>
  <c r="A131" i="53"/>
  <c r="A198" i="53" s="1"/>
  <c r="E28" i="42"/>
  <c r="F28" i="42"/>
  <c r="E255" i="55"/>
  <c r="D273" i="53"/>
  <c r="B32" i="21" s="1"/>
  <c r="C44" i="48"/>
  <c r="E44" i="48" s="1"/>
  <c r="D39" i="83"/>
  <c r="B125" i="83" s="1"/>
  <c r="E29" i="42"/>
  <c r="A21" i="55"/>
  <c r="A78" i="55" s="1"/>
  <c r="A130" i="55" s="1"/>
  <c r="A188" i="55" s="1"/>
  <c r="A243" i="55" s="1"/>
  <c r="A30" i="72"/>
  <c r="A54" i="72" s="1"/>
  <c r="A115" i="72" s="1"/>
  <c r="A44" i="55"/>
  <c r="A101" i="55" s="1"/>
  <c r="A153" i="55" s="1"/>
  <c r="A212" i="55" s="1"/>
  <c r="A266" i="55" s="1"/>
  <c r="C113" i="81"/>
  <c r="I12" i="29"/>
  <c r="A125" i="83"/>
  <c r="A56" i="53" s="1"/>
  <c r="A177" i="53" s="1"/>
  <c r="A241" i="53" s="1"/>
  <c r="A36" i="84"/>
  <c r="A64" i="84" s="1"/>
  <c r="A131" i="84" s="1"/>
  <c r="F39" i="42"/>
  <c r="G18" i="42"/>
  <c r="H18" i="42" s="1"/>
  <c r="F38" i="42"/>
  <c r="A100" i="81"/>
  <c r="A21" i="72"/>
  <c r="A45" i="72" s="1"/>
  <c r="A87" i="72" s="1"/>
  <c r="A25" i="72"/>
  <c r="A49" i="72" s="1"/>
  <c r="A100" i="72" s="1"/>
  <c r="A104" i="81"/>
  <c r="A21" i="53" s="1"/>
  <c r="A74" i="53" s="1"/>
  <c r="A120" i="83"/>
  <c r="A51" i="53" s="1"/>
  <c r="A31" i="84"/>
  <c r="D152" i="53"/>
  <c r="D219" i="53"/>
  <c r="A102" i="81"/>
  <c r="A19" i="53" s="1"/>
  <c r="A23" i="72"/>
  <c r="A47" i="72" s="1"/>
  <c r="A94" i="72" s="1"/>
  <c r="A106" i="81"/>
  <c r="A23" i="53" s="1"/>
  <c r="A144" i="53" s="1"/>
  <c r="A211" i="53" s="1"/>
  <c r="A27" i="72"/>
  <c r="A51" i="72" s="1"/>
  <c r="A106" i="72" s="1"/>
  <c r="G133" i="72"/>
  <c r="F172" i="72"/>
  <c r="F177" i="72" s="1"/>
  <c r="D29" i="21" s="1"/>
  <c r="A29" i="72"/>
  <c r="A53" i="72" s="1"/>
  <c r="A112" i="72" s="1"/>
  <c r="A108" i="81"/>
  <c r="A25" i="53" s="1"/>
  <c r="A146" i="53" s="1"/>
  <c r="A213" i="53" s="1"/>
  <c r="A17" i="72"/>
  <c r="A41" i="72" s="1"/>
  <c r="A72" i="72" s="1"/>
  <c r="A79" i="53"/>
  <c r="E265" i="53"/>
  <c r="A24" i="84"/>
  <c r="A55" i="84" s="1"/>
  <c r="A110" i="84" s="1"/>
  <c r="A48" i="55"/>
  <c r="A105" i="55" s="1"/>
  <c r="A157" i="55" s="1"/>
  <c r="A216" i="55" s="1"/>
  <c r="A270" i="55" s="1"/>
  <c r="A40" i="55"/>
  <c r="A97" i="55" s="1"/>
  <c r="A149" i="55" s="1"/>
  <c r="A208" i="55" s="1"/>
  <c r="A262" i="55" s="1"/>
  <c r="F185" i="84"/>
  <c r="D33" i="21" s="1"/>
  <c r="F37" i="48"/>
  <c r="E243" i="53"/>
  <c r="E36" i="48"/>
  <c r="E268" i="53"/>
  <c r="E172" i="72"/>
  <c r="E177" i="72" s="1"/>
  <c r="C29" i="21" s="1"/>
  <c r="A43" i="55"/>
  <c r="A100" i="55" s="1"/>
  <c r="A152" i="55" s="1"/>
  <c r="A211" i="55" s="1"/>
  <c r="A265" i="55" s="1"/>
  <c r="A35" i="55"/>
  <c r="A92" i="55" s="1"/>
  <c r="A144" i="55" s="1"/>
  <c r="A203" i="55" s="1"/>
  <c r="A257" i="55" s="1"/>
  <c r="E152" i="53"/>
  <c r="E223" i="55"/>
  <c r="F30" i="42"/>
  <c r="E30" i="42"/>
  <c r="E214" i="53"/>
  <c r="D185" i="84"/>
  <c r="B33" i="21" s="1"/>
  <c r="F117" i="57"/>
  <c r="D9" i="62" s="1"/>
  <c r="F9" i="62" s="1"/>
  <c r="E38" i="42"/>
  <c r="J9" i="48"/>
  <c r="A19" i="55"/>
  <c r="A76" i="55" s="1"/>
  <c r="A128" i="55" s="1"/>
  <c r="A186" i="55" s="1"/>
  <c r="A241" i="55" s="1"/>
  <c r="E267" i="53"/>
  <c r="A16" i="84"/>
  <c r="A47" i="84" s="1"/>
  <c r="A79" i="84" s="1"/>
  <c r="A50" i="55"/>
  <c r="A107" i="55" s="1"/>
  <c r="A159" i="55" s="1"/>
  <c r="A218" i="55" s="1"/>
  <c r="A272" i="55" s="1"/>
  <c r="A56" i="55"/>
  <c r="A113" i="55" s="1"/>
  <c r="A165" i="55" s="1"/>
  <c r="A224" i="55" s="1"/>
  <c r="A275" i="55" s="1"/>
  <c r="E205" i="53"/>
  <c r="E37" i="48"/>
  <c r="E35" i="48"/>
  <c r="E39" i="42"/>
  <c r="D10" i="42"/>
  <c r="D11" i="42" s="1"/>
  <c r="E22" i="42"/>
  <c r="E24" i="42" s="1"/>
  <c r="F38" i="61" s="1"/>
  <c r="F34" i="48"/>
  <c r="F33" i="48"/>
  <c r="E29" i="48"/>
  <c r="J11" i="48"/>
  <c r="J12" i="48"/>
  <c r="F36" i="48"/>
  <c r="F35" i="48"/>
  <c r="E38" i="61"/>
  <c r="B10" i="21"/>
  <c r="D35" i="42"/>
  <c r="E51" i="61" s="1"/>
  <c r="E33" i="48"/>
  <c r="F32" i="48"/>
  <c r="E31" i="48"/>
  <c r="F31" i="48"/>
  <c r="F29" i="48"/>
  <c r="A97" i="81"/>
  <c r="A14" i="53" s="1"/>
  <c r="A18" i="72"/>
  <c r="A42" i="72" s="1"/>
  <c r="A77" i="72" s="1"/>
  <c r="A72" i="53"/>
  <c r="A140" i="53"/>
  <c r="A207" i="53" s="1"/>
  <c r="A175" i="53"/>
  <c r="A239" i="53" s="1"/>
  <c r="A107" i="53"/>
  <c r="A134" i="53"/>
  <c r="A201" i="53" s="1"/>
  <c r="A66" i="53"/>
  <c r="A99" i="81"/>
  <c r="A16" i="53" s="1"/>
  <c r="A20" i="72"/>
  <c r="A44" i="72" s="1"/>
  <c r="A83" i="72" s="1"/>
  <c r="A170" i="53"/>
  <c r="A237" i="53" s="1"/>
  <c r="A102" i="53"/>
  <c r="A95" i="81"/>
  <c r="A12" i="53" s="1"/>
  <c r="A16" i="72"/>
  <c r="A40" i="72" s="1"/>
  <c r="A69" i="72" s="1"/>
  <c r="A22" i="72"/>
  <c r="A46" i="72" s="1"/>
  <c r="A91" i="72" s="1"/>
  <c r="A101" i="81"/>
  <c r="A18" i="53" s="1"/>
  <c r="A103" i="81"/>
  <c r="A20" i="53" s="1"/>
  <c r="A24" i="72"/>
  <c r="A48" i="72" s="1"/>
  <c r="A97" i="72" s="1"/>
  <c r="A26" i="72"/>
  <c r="A50" i="72" s="1"/>
  <c r="A103" i="72" s="1"/>
  <c r="A105" i="81"/>
  <c r="A22" i="53" s="1"/>
  <c r="A107" i="81"/>
  <c r="A24" i="53" s="1"/>
  <c r="A28" i="72"/>
  <c r="A52" i="72" s="1"/>
  <c r="A109" i="72" s="1"/>
  <c r="A106" i="83"/>
  <c r="A37" i="53" s="1"/>
  <c r="A17" i="84"/>
  <c r="A48" i="84" s="1"/>
  <c r="A83" i="84" s="1"/>
  <c r="A114" i="83"/>
  <c r="A45" i="53" s="1"/>
  <c r="A25" i="84"/>
  <c r="A56" i="84" s="1"/>
  <c r="A114" i="84" s="1"/>
  <c r="H23" i="48"/>
  <c r="G31" i="48"/>
  <c r="G35" i="48"/>
  <c r="G29" i="48"/>
  <c r="G33" i="48"/>
  <c r="G37" i="48"/>
  <c r="G34" i="48"/>
  <c r="G52" i="48"/>
  <c r="G36" i="48"/>
  <c r="G38" i="48"/>
  <c r="A16" i="55"/>
  <c r="A73" i="55" s="1"/>
  <c r="A125" i="55" s="1"/>
  <c r="A183" i="55" s="1"/>
  <c r="A238" i="55" s="1"/>
  <c r="A20" i="55"/>
  <c r="A77" i="55" s="1"/>
  <c r="A129" i="55" s="1"/>
  <c r="A187" i="55" s="1"/>
  <c r="A242" i="55" s="1"/>
  <c r="A24" i="55"/>
  <c r="A81" i="55" s="1"/>
  <c r="A133" i="55" s="1"/>
  <c r="A191" i="55" s="1"/>
  <c r="A246" i="55" s="1"/>
  <c r="A100" i="53"/>
  <c r="A157" i="53"/>
  <c r="A224" i="53" s="1"/>
  <c r="A89" i="53"/>
  <c r="A19" i="84"/>
  <c r="A50" i="84" s="1"/>
  <c r="A91" i="84" s="1"/>
  <c r="A108" i="83"/>
  <c r="A39" i="53" s="1"/>
  <c r="A165" i="53"/>
  <c r="A232" i="53" s="1"/>
  <c r="A97" i="53"/>
  <c r="G32" i="48"/>
  <c r="A103" i="83"/>
  <c r="A34" i="53" s="1"/>
  <c r="A14" i="84"/>
  <c r="A45" i="84" s="1"/>
  <c r="A71" i="84" s="1"/>
  <c r="A92" i="81"/>
  <c r="A9" i="53" s="1"/>
  <c r="A13" i="72"/>
  <c r="A37" i="72" s="1"/>
  <c r="A58" i="72" s="1"/>
  <c r="A94" i="81"/>
  <c r="A11" i="53" s="1"/>
  <c r="A85" i="81"/>
  <c r="A29" i="55"/>
  <c r="A86" i="55" s="1"/>
  <c r="A138" i="55" s="1"/>
  <c r="A196" i="55" s="1"/>
  <c r="A251" i="55" s="1"/>
  <c r="A13" i="84"/>
  <c r="A44" i="84" s="1"/>
  <c r="A67" i="84" s="1"/>
  <c r="A102" i="83"/>
  <c r="A33" i="53" s="1"/>
  <c r="A107" i="83"/>
  <c r="A38" i="53" s="1"/>
  <c r="A18" i="84"/>
  <c r="A49" i="84" s="1"/>
  <c r="A87" i="84" s="1"/>
  <c r="A110" i="83"/>
  <c r="A41" i="53" s="1"/>
  <c r="A21" i="84"/>
  <c r="A52" i="84" s="1"/>
  <c r="A98" i="84" s="1"/>
  <c r="A115" i="83"/>
  <c r="A46" i="53" s="1"/>
  <c r="A26" i="84"/>
  <c r="A57" i="84" s="1"/>
  <c r="A118" i="84" s="1"/>
  <c r="A172" i="53"/>
  <c r="A104" i="53"/>
  <c r="A121" i="83"/>
  <c r="A52" i="53" s="1"/>
  <c r="A32" i="84"/>
  <c r="E40" i="84"/>
  <c r="D41" i="84"/>
  <c r="A87" i="81"/>
  <c r="A112" i="81" s="1"/>
  <c r="A30" i="53" s="1"/>
  <c r="A31" i="55"/>
  <c r="A88" i="55" s="1"/>
  <c r="A140" i="55" s="1"/>
  <c r="A198" i="55" s="1"/>
  <c r="A253" i="55" s="1"/>
  <c r="A111" i="83"/>
  <c r="A42" i="53" s="1"/>
  <c r="A22" i="84"/>
  <c r="A53" i="84" s="1"/>
  <c r="A102" i="84" s="1"/>
  <c r="A119" i="83"/>
  <c r="A50" i="53" s="1"/>
  <c r="A30" i="84"/>
  <c r="A61" i="84" s="1"/>
  <c r="A122" i="84" s="1"/>
  <c r="A98" i="83"/>
  <c r="A59" i="55"/>
  <c r="A116" i="55" s="1"/>
  <c r="A168" i="55" s="1"/>
  <c r="A227" i="55" s="1"/>
  <c r="A278" i="55" s="1"/>
  <c r="A14" i="55"/>
  <c r="A71" i="55" s="1"/>
  <c r="A123" i="55" s="1"/>
  <c r="A181" i="55" s="1"/>
  <c r="A236" i="55" s="1"/>
  <c r="A18" i="55"/>
  <c r="A75" i="55" s="1"/>
  <c r="A127" i="55" s="1"/>
  <c r="A185" i="55" s="1"/>
  <c r="A240" i="55" s="1"/>
  <c r="A22" i="55"/>
  <c r="A79" i="55" s="1"/>
  <c r="A131" i="55" s="1"/>
  <c r="A189" i="55" s="1"/>
  <c r="A244" i="55" s="1"/>
  <c r="A26" i="55"/>
  <c r="A83" i="55" s="1"/>
  <c r="A135" i="55" s="1"/>
  <c r="A193" i="55" s="1"/>
  <c r="A248" i="55" s="1"/>
  <c r="J12" i="29"/>
  <c r="I61" i="29"/>
  <c r="A15" i="84"/>
  <c r="A46" i="84" s="1"/>
  <c r="A75" i="84" s="1"/>
  <c r="A104" i="83"/>
  <c r="A35" i="53" s="1"/>
  <c r="A23" i="84"/>
  <c r="A54" i="84" s="1"/>
  <c r="A106" i="84" s="1"/>
  <c r="A112" i="83"/>
  <c r="A43" i="53" s="1"/>
  <c r="A117" i="83"/>
  <c r="A48" i="53" s="1"/>
  <c r="A28" i="84"/>
  <c r="A59" i="84" s="1"/>
  <c r="A120" i="84" s="1"/>
  <c r="A124" i="83"/>
  <c r="A55" i="53" s="1"/>
  <c r="A35" i="84"/>
  <c r="A63" i="84" s="1"/>
  <c r="A127" i="84" s="1"/>
  <c r="V16" i="61"/>
  <c r="A122" i="83"/>
  <c r="A53" i="53" s="1"/>
  <c r="A33" i="84"/>
  <c r="D33" i="72"/>
  <c r="C34" i="72"/>
  <c r="H149" i="84"/>
  <c r="E254" i="55"/>
  <c r="C141" i="55"/>
  <c r="E141" i="55"/>
  <c r="H141" i="55"/>
  <c r="F254" i="55"/>
  <c r="G47" i="57"/>
  <c r="G77" i="57" s="1"/>
  <c r="C30" i="48"/>
  <c r="B126" i="83"/>
  <c r="D151" i="53"/>
  <c r="D218" i="53"/>
  <c r="G17" i="22"/>
  <c r="G19" i="22"/>
  <c r="B106" i="83"/>
  <c r="F18" i="83"/>
  <c r="H18" i="83" s="1"/>
  <c r="D14" i="83"/>
  <c r="D16" i="83"/>
  <c r="D20" i="83"/>
  <c r="D21" i="83"/>
  <c r="D22" i="83"/>
  <c r="C23" i="83"/>
  <c r="C32" i="83"/>
  <c r="F92" i="57"/>
  <c r="D7" i="62" s="1"/>
  <c r="C50" i="22" s="1"/>
  <c r="C51" i="22" s="1"/>
  <c r="C52" i="22" s="1"/>
  <c r="D17" i="83"/>
  <c r="D38" i="83"/>
  <c r="D15" i="83"/>
  <c r="D37" i="83"/>
  <c r="C28" i="48"/>
  <c r="P11" i="61"/>
  <c r="Q11" i="61" s="1"/>
  <c r="O16" i="61"/>
  <c r="D22" i="81"/>
  <c r="C32" i="81"/>
  <c r="D14" i="81"/>
  <c r="D15" i="81"/>
  <c r="D16" i="81"/>
  <c r="D17" i="81"/>
  <c r="D18" i="81"/>
  <c r="D19" i="81"/>
  <c r="D20" i="81"/>
  <c r="D21" i="81"/>
  <c r="C19" i="68"/>
  <c r="C56" i="22"/>
  <c r="D8" i="62"/>
  <c r="E35" i="42" l="1"/>
  <c r="D87" i="22"/>
  <c r="G30" i="42"/>
  <c r="B107" i="83"/>
  <c r="C107" i="83" s="1"/>
  <c r="F268" i="53"/>
  <c r="C20" i="68"/>
  <c r="A93" i="53"/>
  <c r="F35" i="42"/>
  <c r="G51" i="61" s="1"/>
  <c r="F255" i="55"/>
  <c r="A142" i="53"/>
  <c r="A209" i="53" s="1"/>
  <c r="F223" i="55"/>
  <c r="F221" i="55"/>
  <c r="H130" i="57"/>
  <c r="G87" i="22"/>
  <c r="E87" i="22"/>
  <c r="A109" i="53"/>
  <c r="A78" i="53"/>
  <c r="F10" i="62"/>
  <c r="F219" i="53"/>
  <c r="F24" i="22"/>
  <c r="C35" i="21" s="1"/>
  <c r="F87" i="22"/>
  <c r="F39" i="83"/>
  <c r="H39" i="83" s="1"/>
  <c r="B69" i="83" s="1"/>
  <c r="D254" i="55"/>
  <c r="F152" i="53"/>
  <c r="E301" i="55"/>
  <c r="C28" i="21" s="1"/>
  <c r="D44" i="42"/>
  <c r="B30" i="21" s="1"/>
  <c r="G18" i="22"/>
  <c r="A76" i="53"/>
  <c r="F267" i="53"/>
  <c r="F243" i="53"/>
  <c r="P16" i="61"/>
  <c r="G44" i="48"/>
  <c r="F41" i="42"/>
  <c r="F44" i="42" s="1"/>
  <c r="D30" i="21" s="1"/>
  <c r="F205" i="53"/>
  <c r="F214" i="53"/>
  <c r="C17" i="68"/>
  <c r="F7" i="62"/>
  <c r="G172" i="55"/>
  <c r="F295" i="55"/>
  <c r="F296" i="55"/>
  <c r="F280" i="55"/>
  <c r="F294" i="55"/>
  <c r="G124" i="53"/>
  <c r="F266" i="53"/>
  <c r="A68" i="53"/>
  <c r="C18" i="68"/>
  <c r="F8" i="62"/>
  <c r="H54" i="48"/>
  <c r="E53" i="48"/>
  <c r="H53" i="48"/>
  <c r="I54" i="48"/>
  <c r="E54" i="48"/>
  <c r="I53" i="48"/>
  <c r="J54" i="48"/>
  <c r="F54" i="48"/>
  <c r="J53" i="48"/>
  <c r="G53" i="48"/>
  <c r="K54" i="48"/>
  <c r="G54" i="48"/>
  <c r="K53" i="48"/>
  <c r="F53" i="48"/>
  <c r="F222" i="55"/>
  <c r="E273" i="53"/>
  <c r="C32" i="21" s="1"/>
  <c r="G8" i="22"/>
  <c r="G15" i="22"/>
  <c r="G13" i="22"/>
  <c r="G11" i="22"/>
  <c r="G10" i="22"/>
  <c r="G20" i="22"/>
  <c r="G16" i="22"/>
  <c r="G14" i="22"/>
  <c r="G12" i="22"/>
  <c r="G9" i="22"/>
  <c r="G22" i="22"/>
  <c r="G21" i="22"/>
  <c r="D5" i="62"/>
  <c r="H39" i="42"/>
  <c r="H29" i="42"/>
  <c r="H28" i="42"/>
  <c r="C43" i="48"/>
  <c r="E43" i="48" s="1"/>
  <c r="G29" i="42"/>
  <c r="G28" i="42"/>
  <c r="H51" i="22"/>
  <c r="D113" i="81"/>
  <c r="D30" i="53"/>
  <c r="D83" i="53" s="1"/>
  <c r="G185" i="84"/>
  <c r="E33" i="21" s="1"/>
  <c r="F51" i="61"/>
  <c r="C20" i="21"/>
  <c r="E44" i="42"/>
  <c r="C30" i="21" s="1"/>
  <c r="B20" i="21"/>
  <c r="H133" i="72"/>
  <c r="G172" i="72"/>
  <c r="G177" i="72" s="1"/>
  <c r="E29" i="21" s="1"/>
  <c r="G38" i="42"/>
  <c r="G39" i="42"/>
  <c r="L50" i="22"/>
  <c r="L51" i="22" s="1"/>
  <c r="L53" i="22" s="1"/>
  <c r="M50" i="22" s="1"/>
  <c r="M51" i="22" s="1"/>
  <c r="M53" i="22" s="1"/>
  <c r="N50" i="22" s="1"/>
  <c r="N51" i="22" s="1"/>
  <c r="N53" i="22" s="1"/>
  <c r="O50" i="22" s="1"/>
  <c r="C10" i="21"/>
  <c r="D140" i="29" s="1"/>
  <c r="F22" i="42"/>
  <c r="F24" i="42" s="1"/>
  <c r="E10" i="42"/>
  <c r="E11" i="42" s="1"/>
  <c r="G41" i="42" s="1"/>
  <c r="C125" i="29"/>
  <c r="C34" i="29"/>
  <c r="C170" i="29"/>
  <c r="C155" i="29"/>
  <c r="C140" i="29"/>
  <c r="D20" i="21"/>
  <c r="F44" i="48"/>
  <c r="D27" i="83"/>
  <c r="D28" i="83"/>
  <c r="D29" i="83"/>
  <c r="D30" i="83"/>
  <c r="D31" i="83"/>
  <c r="D24" i="83"/>
  <c r="D25" i="83"/>
  <c r="D26" i="83"/>
  <c r="B51" i="83"/>
  <c r="B79" i="83"/>
  <c r="A71" i="53"/>
  <c r="A139" i="53"/>
  <c r="A206" i="53" s="1"/>
  <c r="I51" i="22"/>
  <c r="G51" i="22"/>
  <c r="F22" i="83"/>
  <c r="H22" i="83" s="1"/>
  <c r="B110" i="83"/>
  <c r="F14" i="83"/>
  <c r="H14" i="83" s="1"/>
  <c r="B102" i="83"/>
  <c r="L14" i="83"/>
  <c r="F74" i="83" s="1"/>
  <c r="F13" i="84" s="1"/>
  <c r="N14" i="83"/>
  <c r="H74" i="83" s="1"/>
  <c r="H13" i="84" s="1"/>
  <c r="K14" i="83"/>
  <c r="E74" i="83" s="1"/>
  <c r="E13" i="84" s="1"/>
  <c r="M14" i="83"/>
  <c r="G74" i="83" s="1"/>
  <c r="G13" i="84" s="1"/>
  <c r="J14" i="83"/>
  <c r="D74" i="83" s="1"/>
  <c r="D13" i="84" s="1"/>
  <c r="C37" i="53"/>
  <c r="C90" i="53" s="1"/>
  <c r="C106" i="83"/>
  <c r="C38" i="53"/>
  <c r="C91" i="53" s="1"/>
  <c r="E30" i="48"/>
  <c r="F30" i="48"/>
  <c r="H30" i="48"/>
  <c r="G30" i="48"/>
  <c r="E199" i="55"/>
  <c r="F199" i="55"/>
  <c r="E33" i="72"/>
  <c r="D34" i="72"/>
  <c r="A174" i="53"/>
  <c r="A106" i="53"/>
  <c r="A126" i="83"/>
  <c r="A57" i="53" s="1"/>
  <c r="A37" i="84"/>
  <c r="A65" i="84" s="1"/>
  <c r="A135" i="84" s="1"/>
  <c r="A95" i="53"/>
  <c r="A163" i="53"/>
  <c r="A230" i="53" s="1"/>
  <c r="E41" i="84"/>
  <c r="F40" i="84"/>
  <c r="A162" i="53"/>
  <c r="A229" i="53" s="1"/>
  <c r="A94" i="53"/>
  <c r="A64" i="53"/>
  <c r="A132" i="53"/>
  <c r="A199" i="53" s="1"/>
  <c r="A87" i="53"/>
  <c r="A155" i="53"/>
  <c r="A222" i="53" s="1"/>
  <c r="I18" i="42"/>
  <c r="H30" i="42"/>
  <c r="H38" i="42"/>
  <c r="H29" i="48"/>
  <c r="H33" i="48"/>
  <c r="H37" i="48"/>
  <c r="I23" i="48"/>
  <c r="I30" i="48" s="1"/>
  <c r="H35" i="48"/>
  <c r="H44" i="48"/>
  <c r="H31" i="48"/>
  <c r="H36" i="48"/>
  <c r="H32" i="48"/>
  <c r="H38" i="48"/>
  <c r="H52" i="48"/>
  <c r="H34" i="48"/>
  <c r="A158" i="53"/>
  <c r="A225" i="53" s="1"/>
  <c r="A90" i="53"/>
  <c r="A65" i="53"/>
  <c r="A133" i="53"/>
  <c r="A200" i="53" s="1"/>
  <c r="B50" i="83"/>
  <c r="B78" i="83"/>
  <c r="A176" i="53"/>
  <c r="A240" i="53" s="1"/>
  <c r="A108" i="53"/>
  <c r="F51" i="22"/>
  <c r="B109" i="83"/>
  <c r="F21" i="83"/>
  <c r="H21" i="83" s="1"/>
  <c r="B70" i="83"/>
  <c r="B98" i="83"/>
  <c r="A169" i="53"/>
  <c r="A236" i="53" s="1"/>
  <c r="A101" i="53"/>
  <c r="A160" i="53"/>
  <c r="A227" i="53" s="1"/>
  <c r="A92" i="53"/>
  <c r="B103" i="83"/>
  <c r="F15" i="83"/>
  <c r="H15" i="83" s="1"/>
  <c r="B104" i="83"/>
  <c r="F16" i="83"/>
  <c r="H16" i="83" s="1"/>
  <c r="A154" i="53"/>
  <c r="A221" i="53" s="1"/>
  <c r="A86" i="53"/>
  <c r="A143" i="53"/>
  <c r="A210" i="53" s="1"/>
  <c r="A75" i="53"/>
  <c r="E51" i="22"/>
  <c r="B124" i="83"/>
  <c r="F38" i="83"/>
  <c r="H38" i="83" s="1"/>
  <c r="C53" i="22"/>
  <c r="D50" i="22" s="1"/>
  <c r="D51" i="22"/>
  <c r="D52" i="22" s="1"/>
  <c r="B123" i="83"/>
  <c r="F37" i="83"/>
  <c r="H37" i="83" s="1"/>
  <c r="B105" i="83"/>
  <c r="F17" i="83"/>
  <c r="H17" i="83" s="1"/>
  <c r="D33" i="83"/>
  <c r="D34" i="83"/>
  <c r="D35" i="83"/>
  <c r="D36" i="83"/>
  <c r="B108" i="83"/>
  <c r="F20" i="83"/>
  <c r="H20" i="83" s="1"/>
  <c r="C56" i="53"/>
  <c r="C109" i="53" s="1"/>
  <c r="C125" i="83"/>
  <c r="C57" i="53"/>
  <c r="C110" i="53" s="1"/>
  <c r="C126" i="83"/>
  <c r="G199" i="55"/>
  <c r="I149" i="84"/>
  <c r="H180" i="84"/>
  <c r="H181" i="84"/>
  <c r="A164" i="53"/>
  <c r="A231" i="53" s="1"/>
  <c r="A96" i="53"/>
  <c r="A156" i="53"/>
  <c r="A223" i="53" s="1"/>
  <c r="A88" i="53"/>
  <c r="A103" i="53"/>
  <c r="A171" i="53"/>
  <c r="A238" i="53" s="1"/>
  <c r="A151" i="53"/>
  <c r="A218" i="53" s="1"/>
  <c r="A83" i="53"/>
  <c r="A173" i="53"/>
  <c r="A105" i="53"/>
  <c r="A99" i="53"/>
  <c r="A167" i="53"/>
  <c r="A234" i="53" s="1"/>
  <c r="A91" i="53"/>
  <c r="A159" i="53"/>
  <c r="A226" i="53" s="1"/>
  <c r="A110" i="81"/>
  <c r="A28" i="53" s="1"/>
  <c r="A31" i="72"/>
  <c r="A55" i="72" s="1"/>
  <c r="A118" i="72" s="1"/>
  <c r="A62" i="53"/>
  <c r="A130" i="53"/>
  <c r="A197" i="53" s="1"/>
  <c r="A166" i="53"/>
  <c r="A233" i="53" s="1"/>
  <c r="A98" i="53"/>
  <c r="A145" i="53"/>
  <c r="A212" i="53" s="1"/>
  <c r="A77" i="53"/>
  <c r="A141" i="53"/>
  <c r="A208" i="53" s="1"/>
  <c r="A73" i="53"/>
  <c r="A137" i="53"/>
  <c r="A204" i="53" s="1"/>
  <c r="A69" i="53"/>
  <c r="A67" i="53"/>
  <c r="A135" i="53"/>
  <c r="A202" i="53" s="1"/>
  <c r="F28" i="48"/>
  <c r="H28" i="48"/>
  <c r="E28" i="48"/>
  <c r="G28" i="48"/>
  <c r="I28" i="48"/>
  <c r="C62" i="22"/>
  <c r="C63" i="22" s="1"/>
  <c r="C64" i="22" s="1"/>
  <c r="B99" i="81"/>
  <c r="C16" i="53" s="1"/>
  <c r="F21" i="81"/>
  <c r="H21" i="81" s="1"/>
  <c r="B74" i="81" s="1"/>
  <c r="B20" i="72" s="1"/>
  <c r="B97" i="81"/>
  <c r="C14" i="53" s="1"/>
  <c r="F19" i="81"/>
  <c r="H19" i="81" s="1"/>
  <c r="B95" i="81"/>
  <c r="C12" i="53" s="1"/>
  <c r="F17" i="81"/>
  <c r="H17" i="81" s="1"/>
  <c r="B93" i="81"/>
  <c r="C10" i="53" s="1"/>
  <c r="F15" i="81"/>
  <c r="H15" i="81" s="1"/>
  <c r="D34" i="81"/>
  <c r="D33" i="81"/>
  <c r="D36" i="81"/>
  <c r="D35" i="81"/>
  <c r="F35" i="81" s="1"/>
  <c r="H35" i="81" s="1"/>
  <c r="F22" i="81"/>
  <c r="H22" i="81" s="1"/>
  <c r="B100" i="81"/>
  <c r="B98" i="81"/>
  <c r="C15" i="53" s="1"/>
  <c r="F20" i="81"/>
  <c r="H20" i="81" s="1"/>
  <c r="B96" i="81"/>
  <c r="C13" i="53" s="1"/>
  <c r="F18" i="81"/>
  <c r="H18" i="81" s="1"/>
  <c r="B94" i="81"/>
  <c r="C11" i="53" s="1"/>
  <c r="F16" i="81"/>
  <c r="H16" i="81" s="1"/>
  <c r="B92" i="81"/>
  <c r="C9" i="53" s="1"/>
  <c r="C62" i="53" s="1"/>
  <c r="F14" i="81"/>
  <c r="H14" i="81" s="1"/>
  <c r="J14" i="81"/>
  <c r="K14" i="81"/>
  <c r="L14" i="81"/>
  <c r="M14" i="81"/>
  <c r="N14" i="81"/>
  <c r="D27" i="81"/>
  <c r="D29" i="81"/>
  <c r="D31" i="81"/>
  <c r="D28" i="81"/>
  <c r="D30" i="81"/>
  <c r="D24" i="81"/>
  <c r="D25" i="81"/>
  <c r="D26" i="81"/>
  <c r="B43" i="21"/>
  <c r="C88" i="22"/>
  <c r="E43" i="21"/>
  <c r="F88" i="22"/>
  <c r="C43" i="21"/>
  <c r="E12" i="29" s="1"/>
  <c r="D88" i="22"/>
  <c r="C57" i="22"/>
  <c r="E57" i="22"/>
  <c r="H57" i="22"/>
  <c r="I57" i="22"/>
  <c r="L56" i="22"/>
  <c r="D57" i="22"/>
  <c r="F57" i="22"/>
  <c r="G57" i="22"/>
  <c r="Q16" i="61"/>
  <c r="R11" i="61"/>
  <c r="R16" i="61" s="1"/>
  <c r="B18" i="69" l="1"/>
  <c r="D12" i="29"/>
  <c r="B97" i="83"/>
  <c r="I43" i="48"/>
  <c r="F273" i="53"/>
  <c r="D32" i="21" s="1"/>
  <c r="E39" i="48"/>
  <c r="D43" i="21"/>
  <c r="E88" i="22"/>
  <c r="F43" i="21"/>
  <c r="G88" i="22"/>
  <c r="D46" i="42"/>
  <c r="D48" i="42" s="1"/>
  <c r="D6" i="62"/>
  <c r="E20" i="62" s="1"/>
  <c r="G56" i="48"/>
  <c r="D31" i="21" s="1"/>
  <c r="F46" i="42"/>
  <c r="F48" i="42" s="1"/>
  <c r="C15" i="68"/>
  <c r="F5" i="62"/>
  <c r="H172" i="55"/>
  <c r="G296" i="55"/>
  <c r="G295" i="55"/>
  <c r="G294" i="55"/>
  <c r="G221" i="55"/>
  <c r="G222" i="55"/>
  <c r="G223" i="55"/>
  <c r="G255" i="55"/>
  <c r="G279" i="55"/>
  <c r="G280" i="55"/>
  <c r="G254" i="55"/>
  <c r="H185" i="84"/>
  <c r="F33" i="21" s="1"/>
  <c r="H56" i="48"/>
  <c r="E31" i="21" s="1"/>
  <c r="F301" i="55"/>
  <c r="D28" i="21" s="1"/>
  <c r="C100" i="81"/>
  <c r="D100" i="81" s="1"/>
  <c r="E100" i="81" s="1"/>
  <c r="F100" i="81" s="1"/>
  <c r="G100" i="81" s="1"/>
  <c r="H100" i="81" s="1"/>
  <c r="C17" i="53"/>
  <c r="H124" i="53"/>
  <c r="G267" i="53"/>
  <c r="G152" i="53"/>
  <c r="G266" i="53"/>
  <c r="G205" i="53"/>
  <c r="G268" i="53"/>
  <c r="G219" i="53"/>
  <c r="G265" i="53"/>
  <c r="G243" i="53"/>
  <c r="G214" i="53"/>
  <c r="G24" i="22"/>
  <c r="D35" i="21" s="1"/>
  <c r="F56" i="48"/>
  <c r="C31" i="21" s="1"/>
  <c r="C36" i="21" s="1"/>
  <c r="D23" i="68" s="1"/>
  <c r="E56" i="48"/>
  <c r="B31" i="21" s="1"/>
  <c r="B36" i="21" s="1"/>
  <c r="C23" i="68" s="1"/>
  <c r="G35" i="42"/>
  <c r="E20" i="21" s="1"/>
  <c r="H8" i="22"/>
  <c r="H16" i="22"/>
  <c r="H14" i="22"/>
  <c r="H12" i="22"/>
  <c r="H9" i="22"/>
  <c r="H15" i="22"/>
  <c r="H13" i="22"/>
  <c r="H11" i="22"/>
  <c r="H10" i="22"/>
  <c r="H22" i="22"/>
  <c r="H23" i="22"/>
  <c r="H17" i="22"/>
  <c r="H20" i="22"/>
  <c r="H18" i="22"/>
  <c r="H19" i="22"/>
  <c r="H21" i="22"/>
  <c r="G63" i="22"/>
  <c r="C18" i="69"/>
  <c r="D18" i="69" s="1"/>
  <c r="E18" i="69" s="1"/>
  <c r="C38" i="22"/>
  <c r="I39" i="42"/>
  <c r="I29" i="42"/>
  <c r="I28" i="42"/>
  <c r="E218" i="53"/>
  <c r="E151" i="53"/>
  <c r="E113" i="81"/>
  <c r="E30" i="53"/>
  <c r="E83" i="53" s="1"/>
  <c r="I63" i="22"/>
  <c r="E52" i="22"/>
  <c r="F52" i="22" s="1"/>
  <c r="G52" i="22" s="1"/>
  <c r="H52" i="22" s="1"/>
  <c r="I52" i="22" s="1"/>
  <c r="L52" i="22"/>
  <c r="M52" i="22" s="1"/>
  <c r="N52" i="22" s="1"/>
  <c r="L62" i="22"/>
  <c r="L63" i="22" s="1"/>
  <c r="L64" i="22" s="1"/>
  <c r="D63" i="22"/>
  <c r="D64" i="22" s="1"/>
  <c r="G44" i="42"/>
  <c r="E30" i="21" s="1"/>
  <c r="E46" i="42"/>
  <c r="E48" i="42" s="1"/>
  <c r="H63" i="22"/>
  <c r="E63" i="22"/>
  <c r="C65" i="22"/>
  <c r="D62" i="22" s="1"/>
  <c r="F63" i="22"/>
  <c r="H51" i="61"/>
  <c r="I133" i="72"/>
  <c r="H172" i="72"/>
  <c r="H177" i="72" s="1"/>
  <c r="F29" i="21" s="1"/>
  <c r="D170" i="29"/>
  <c r="D125" i="29"/>
  <c r="D155" i="29"/>
  <c r="D34" i="29"/>
  <c r="G22" i="42"/>
  <c r="G24" i="42" s="1"/>
  <c r="F10" i="42"/>
  <c r="F11" i="42" s="1"/>
  <c r="G38" i="61"/>
  <c r="D10" i="21"/>
  <c r="F39" i="48"/>
  <c r="C11" i="21" s="1"/>
  <c r="G39" i="48"/>
  <c r="G35" i="61" s="1"/>
  <c r="E35" i="61"/>
  <c r="F43" i="48"/>
  <c r="F49" i="48" s="1"/>
  <c r="C21" i="21" s="1"/>
  <c r="G43" i="48"/>
  <c r="G49" i="48" s="1"/>
  <c r="G48" i="61" s="1"/>
  <c r="H43" i="48"/>
  <c r="H49" i="48" s="1"/>
  <c r="H48" i="61" s="1"/>
  <c r="E49" i="48"/>
  <c r="B21" i="21" s="1"/>
  <c r="B122" i="83"/>
  <c r="F36" i="83"/>
  <c r="H36" i="83" s="1"/>
  <c r="C40" i="53"/>
  <c r="C93" i="53" s="1"/>
  <c r="C109" i="83"/>
  <c r="D107" i="83"/>
  <c r="D38" i="53"/>
  <c r="D91" i="53" s="1"/>
  <c r="B54" i="83"/>
  <c r="B82" i="83"/>
  <c r="D177" i="53"/>
  <c r="D241" i="53"/>
  <c r="B121" i="83"/>
  <c r="F35" i="83"/>
  <c r="H35" i="83" s="1"/>
  <c r="C36" i="53"/>
  <c r="C89" i="53" s="1"/>
  <c r="C105" i="83"/>
  <c r="D53" i="22"/>
  <c r="E50" i="22" s="1"/>
  <c r="E53" i="22" s="1"/>
  <c r="F50" i="22" s="1"/>
  <c r="F53" i="22" s="1"/>
  <c r="G50" i="22" s="1"/>
  <c r="G53" i="22" s="1"/>
  <c r="H50" i="22" s="1"/>
  <c r="H53" i="22" s="1"/>
  <c r="I50" i="22" s="1"/>
  <c r="I53" i="22" s="1"/>
  <c r="C55" i="53"/>
  <c r="C108" i="53" s="1"/>
  <c r="C124" i="83"/>
  <c r="B47" i="83"/>
  <c r="B75" i="83"/>
  <c r="B37" i="84"/>
  <c r="B65" i="84" s="1"/>
  <c r="C98" i="83"/>
  <c r="B17" i="84"/>
  <c r="B48" i="84" s="1"/>
  <c r="C78" i="83"/>
  <c r="D159" i="53"/>
  <c r="D226" i="53"/>
  <c r="C33" i="53"/>
  <c r="C86" i="53" s="1"/>
  <c r="C102" i="83"/>
  <c r="B112" i="83"/>
  <c r="F25" i="83"/>
  <c r="H25" i="83" s="1"/>
  <c r="F29" i="83"/>
  <c r="H29" i="83" s="1"/>
  <c r="B116" i="83"/>
  <c r="A149" i="53"/>
  <c r="A216" i="53" s="1"/>
  <c r="A81" i="53"/>
  <c r="D125" i="83"/>
  <c r="D56" i="53"/>
  <c r="D109" i="53" s="1"/>
  <c r="B68" i="83"/>
  <c r="B96" i="83"/>
  <c r="C35" i="53"/>
  <c r="C88" i="53" s="1"/>
  <c r="C104" i="83"/>
  <c r="I30" i="42"/>
  <c r="J18" i="42"/>
  <c r="I38" i="42"/>
  <c r="B117" i="83"/>
  <c r="F30" i="83"/>
  <c r="H30" i="83" s="1"/>
  <c r="H39" i="48"/>
  <c r="E11" i="21" s="1"/>
  <c r="D126" i="83"/>
  <c r="D57" i="53"/>
  <c r="D110" i="53" s="1"/>
  <c r="B52" i="83"/>
  <c r="B80" i="83"/>
  <c r="B120" i="83"/>
  <c r="F34" i="83"/>
  <c r="H34" i="83" s="1"/>
  <c r="B67" i="83"/>
  <c r="B95" i="83"/>
  <c r="B36" i="84"/>
  <c r="B64" i="84" s="1"/>
  <c r="C97" i="83"/>
  <c r="C34" i="53"/>
  <c r="C87" i="53" s="1"/>
  <c r="C103" i="83"/>
  <c r="B59" i="55"/>
  <c r="B116" i="55" s="1"/>
  <c r="C70" i="83"/>
  <c r="B39" i="55"/>
  <c r="B96" i="55" s="1"/>
  <c r="C50" i="83"/>
  <c r="F33" i="72"/>
  <c r="E34" i="72"/>
  <c r="D106" i="83"/>
  <c r="D37" i="53"/>
  <c r="D90" i="53" s="1"/>
  <c r="E44" i="84"/>
  <c r="B46" i="83"/>
  <c r="B74" i="83"/>
  <c r="B13" i="84" s="1"/>
  <c r="B18" i="84"/>
  <c r="B49" i="84" s="1"/>
  <c r="C79" i="83"/>
  <c r="B111" i="83"/>
  <c r="F24" i="83"/>
  <c r="H24" i="83" s="1"/>
  <c r="F28" i="83"/>
  <c r="H28" i="83" s="1"/>
  <c r="B115" i="83"/>
  <c r="B49" i="83"/>
  <c r="B77" i="83"/>
  <c r="A110" i="53"/>
  <c r="A178" i="53"/>
  <c r="A242" i="53" s="1"/>
  <c r="D44" i="84"/>
  <c r="B113" i="83"/>
  <c r="F26" i="83"/>
  <c r="H26" i="83" s="1"/>
  <c r="J149" i="84"/>
  <c r="I180" i="84"/>
  <c r="I181" i="84"/>
  <c r="D178" i="53"/>
  <c r="D242" i="53"/>
  <c r="C39" i="53"/>
  <c r="C92" i="53" s="1"/>
  <c r="C108" i="83"/>
  <c r="B119" i="83"/>
  <c r="F33" i="83"/>
  <c r="H33" i="83" s="1"/>
  <c r="C54" i="53"/>
  <c r="C107" i="53" s="1"/>
  <c r="C123" i="83"/>
  <c r="B58" i="55"/>
  <c r="B115" i="55" s="1"/>
  <c r="C69" i="83"/>
  <c r="B48" i="83"/>
  <c r="B76" i="83"/>
  <c r="B81" i="83"/>
  <c r="B53" i="83"/>
  <c r="I44" i="48"/>
  <c r="I49" i="48" s="1"/>
  <c r="J23" i="48"/>
  <c r="I29" i="48"/>
  <c r="I33" i="48"/>
  <c r="I37" i="48"/>
  <c r="I34" i="48"/>
  <c r="I38" i="48"/>
  <c r="I31" i="48"/>
  <c r="I35" i="48"/>
  <c r="I32" i="48"/>
  <c r="I52" i="48"/>
  <c r="I56" i="48" s="1"/>
  <c r="F31" i="21" s="1"/>
  <c r="I36" i="48"/>
  <c r="H35" i="42"/>
  <c r="F41" i="84"/>
  <c r="F44" i="84" s="1"/>
  <c r="G40" i="84"/>
  <c r="D158" i="53"/>
  <c r="D225" i="53"/>
  <c r="C41" i="53"/>
  <c r="C94" i="53" s="1"/>
  <c r="C110" i="83"/>
  <c r="B40" i="55"/>
  <c r="B97" i="55" s="1"/>
  <c r="C51" i="83"/>
  <c r="F31" i="83"/>
  <c r="H31" i="83" s="1"/>
  <c r="B118" i="83"/>
  <c r="F27" i="83"/>
  <c r="H27" i="83" s="1"/>
  <c r="B114" i="83"/>
  <c r="B11" i="21"/>
  <c r="B103" i="81"/>
  <c r="C20" i="53" s="1"/>
  <c r="F26" i="81"/>
  <c r="H26" i="81" s="1"/>
  <c r="B101" i="81"/>
  <c r="C18" i="53" s="1"/>
  <c r="F24" i="81"/>
  <c r="H24" i="81" s="1"/>
  <c r="B105" i="81"/>
  <c r="C22" i="53" s="1"/>
  <c r="F28" i="81"/>
  <c r="H28" i="81" s="1"/>
  <c r="B106" i="81"/>
  <c r="F29" i="81"/>
  <c r="H29" i="81" s="1"/>
  <c r="C92" i="81"/>
  <c r="D9" i="53" s="1"/>
  <c r="C64" i="53"/>
  <c r="C94" i="81"/>
  <c r="D11" i="53" s="1"/>
  <c r="C66" i="53"/>
  <c r="C96" i="81"/>
  <c r="D13" i="53" s="1"/>
  <c r="C68" i="53"/>
  <c r="C98" i="81"/>
  <c r="D15" i="53" s="1"/>
  <c r="B75" i="81"/>
  <c r="B50" i="81"/>
  <c r="B112" i="81"/>
  <c r="F36" i="81"/>
  <c r="H36" i="81" s="1"/>
  <c r="B111" i="81"/>
  <c r="B110" i="81"/>
  <c r="F34" i="81"/>
  <c r="H34" i="81" s="1"/>
  <c r="C63" i="53"/>
  <c r="C93" i="81"/>
  <c r="D10" i="53" s="1"/>
  <c r="C65" i="53"/>
  <c r="C95" i="81"/>
  <c r="D12" i="53" s="1"/>
  <c r="C67" i="53"/>
  <c r="C97" i="81"/>
  <c r="D14" i="53" s="1"/>
  <c r="C69" i="53"/>
  <c r="C99" i="81"/>
  <c r="D16" i="53" s="1"/>
  <c r="B102" i="81"/>
  <c r="C19" i="53" s="1"/>
  <c r="F25" i="81"/>
  <c r="H25" i="81" s="1"/>
  <c r="B107" i="81"/>
  <c r="F30" i="81"/>
  <c r="H30" i="81" s="1"/>
  <c r="B108" i="81"/>
  <c r="F31" i="81"/>
  <c r="H31" i="81" s="1"/>
  <c r="F27" i="81"/>
  <c r="H27" i="81" s="1"/>
  <c r="B104" i="81"/>
  <c r="C21" i="53" s="1"/>
  <c r="B42" i="81"/>
  <c r="B67" i="81"/>
  <c r="B13" i="72" s="1"/>
  <c r="B44" i="81"/>
  <c r="B69" i="81"/>
  <c r="B46" i="81"/>
  <c r="B71" i="81"/>
  <c r="B48" i="81"/>
  <c r="B73" i="81"/>
  <c r="B19" i="72" s="1"/>
  <c r="B61" i="81"/>
  <c r="B86" i="81"/>
  <c r="C86" i="81" s="1"/>
  <c r="D86" i="81" s="1"/>
  <c r="E86" i="81" s="1"/>
  <c r="F86" i="81" s="1"/>
  <c r="G86" i="81" s="1"/>
  <c r="H86" i="81" s="1"/>
  <c r="F33" i="81"/>
  <c r="H33" i="81" s="1"/>
  <c r="B109" i="81"/>
  <c r="C109" i="81" s="1"/>
  <c r="D109" i="81" s="1"/>
  <c r="E109" i="81" s="1"/>
  <c r="F109" i="81" s="1"/>
  <c r="G109" i="81" s="1"/>
  <c r="H109" i="81" s="1"/>
  <c r="B43" i="81"/>
  <c r="B68" i="81"/>
  <c r="B14" i="72" s="1"/>
  <c r="B45" i="81"/>
  <c r="B70" i="81"/>
  <c r="B16" i="72" s="1"/>
  <c r="B47" i="81"/>
  <c r="B72" i="81"/>
  <c r="B18" i="72" s="1"/>
  <c r="B49" i="81"/>
  <c r="G97" i="29"/>
  <c r="F61" i="29"/>
  <c r="G12" i="29"/>
  <c r="C61" i="29"/>
  <c r="D97" i="29"/>
  <c r="E97" i="29"/>
  <c r="D61" i="29"/>
  <c r="L57" i="22"/>
  <c r="L58" i="22" s="1"/>
  <c r="C58" i="22"/>
  <c r="D58" i="22" s="1"/>
  <c r="E58" i="22" s="1"/>
  <c r="F58" i="22" s="1"/>
  <c r="G58" i="22" s="1"/>
  <c r="H58" i="22" s="1"/>
  <c r="I58" i="22" s="1"/>
  <c r="C59" i="22"/>
  <c r="D56" i="22" s="1"/>
  <c r="D59" i="22" s="1"/>
  <c r="E56" i="22" s="1"/>
  <c r="E59" i="22" s="1"/>
  <c r="F56" i="22" s="1"/>
  <c r="F59" i="22" s="1"/>
  <c r="G56" i="22" s="1"/>
  <c r="G59" i="22" s="1"/>
  <c r="H56" i="22" s="1"/>
  <c r="H59" i="22" s="1"/>
  <c r="I56" i="22" s="1"/>
  <c r="I59" i="22" s="1"/>
  <c r="O51" i="22"/>
  <c r="O53" i="22" s="1"/>
  <c r="P50" i="22" s="1"/>
  <c r="H41" i="42" l="1"/>
  <c r="H44" i="42" s="1"/>
  <c r="F30" i="21" s="1"/>
  <c r="F18" i="69"/>
  <c r="G18" i="69" s="1"/>
  <c r="H18" i="69" s="1"/>
  <c r="H12" i="29"/>
  <c r="G61" i="29"/>
  <c r="H97" i="29"/>
  <c r="F97" i="29"/>
  <c r="F12" i="29"/>
  <c r="E61" i="29"/>
  <c r="G46" i="42"/>
  <c r="G48" i="42" s="1"/>
  <c r="D36" i="21"/>
  <c r="F6" i="62"/>
  <c r="F12" i="62" s="1"/>
  <c r="E19" i="62" s="1"/>
  <c r="C16" i="68"/>
  <c r="G273" i="53"/>
  <c r="E32" i="21" s="1"/>
  <c r="C44" i="22"/>
  <c r="C45" i="22" s="1"/>
  <c r="C46" i="22" s="1"/>
  <c r="D147" i="29"/>
  <c r="D162" i="29"/>
  <c r="I124" i="53"/>
  <c r="H268" i="53"/>
  <c r="H243" i="53"/>
  <c r="H267" i="53"/>
  <c r="H266" i="53"/>
  <c r="H219" i="53"/>
  <c r="H265" i="53"/>
  <c r="H205" i="53"/>
  <c r="H152" i="53"/>
  <c r="H214" i="53"/>
  <c r="D177" i="29"/>
  <c r="D132" i="29"/>
  <c r="G301" i="55"/>
  <c r="E28" i="21" s="1"/>
  <c r="I172" i="55"/>
  <c r="H296" i="55"/>
  <c r="H295" i="55"/>
  <c r="H279" i="55"/>
  <c r="H294" i="55"/>
  <c r="H280" i="55"/>
  <c r="H222" i="55"/>
  <c r="H221" i="55"/>
  <c r="H255" i="55"/>
  <c r="H254" i="55"/>
  <c r="H223" i="55"/>
  <c r="H199" i="55"/>
  <c r="I8" i="22"/>
  <c r="I16" i="22"/>
  <c r="I14" i="22"/>
  <c r="I12" i="22"/>
  <c r="I9" i="22"/>
  <c r="I23" i="22"/>
  <c r="I20" i="22"/>
  <c r="I21" i="22"/>
  <c r="I17" i="22"/>
  <c r="I15" i="22"/>
  <c r="I13" i="22"/>
  <c r="I11" i="22"/>
  <c r="I10" i="22"/>
  <c r="I19" i="22"/>
  <c r="I18" i="22"/>
  <c r="I22" i="22"/>
  <c r="H24" i="22"/>
  <c r="E35" i="21" s="1"/>
  <c r="E64" i="22"/>
  <c r="F64" i="22" s="1"/>
  <c r="G64" i="22" s="1"/>
  <c r="H64" i="22" s="1"/>
  <c r="I64" i="22" s="1"/>
  <c r="F39" i="22"/>
  <c r="C39" i="22"/>
  <c r="C41" i="22" s="1"/>
  <c r="I39" i="22"/>
  <c r="E39" i="22"/>
  <c r="D39" i="22"/>
  <c r="L38" i="22"/>
  <c r="L39" i="22" s="1"/>
  <c r="L41" i="22" s="1"/>
  <c r="M38" i="22" s="1"/>
  <c r="H39" i="22"/>
  <c r="G39" i="22"/>
  <c r="J39" i="42"/>
  <c r="J29" i="42"/>
  <c r="J28" i="42"/>
  <c r="F30" i="53"/>
  <c r="F83" i="53" s="1"/>
  <c r="F113" i="81"/>
  <c r="F151" i="53"/>
  <c r="F218" i="53"/>
  <c r="D65" i="22"/>
  <c r="E62" i="22" s="1"/>
  <c r="E65" i="22" s="1"/>
  <c r="F62" i="22" s="1"/>
  <c r="F65" i="22" s="1"/>
  <c r="G62" i="22" s="1"/>
  <c r="G65" i="22" s="1"/>
  <c r="H62" i="22" s="1"/>
  <c r="H65" i="22" s="1"/>
  <c r="I62" i="22" s="1"/>
  <c r="I65" i="22" s="1"/>
  <c r="J133" i="72"/>
  <c r="J172" i="72" s="1"/>
  <c r="J177" i="72" s="1"/>
  <c r="H29" i="21" s="1"/>
  <c r="I172" i="72"/>
  <c r="I177" i="72" s="1"/>
  <c r="G29" i="21" s="1"/>
  <c r="E155" i="29"/>
  <c r="E140" i="29"/>
  <c r="E125" i="29"/>
  <c r="E34" i="29"/>
  <c r="E170" i="29"/>
  <c r="H22" i="42"/>
  <c r="H24" i="42" s="1"/>
  <c r="G10" i="42"/>
  <c r="G11" i="42" s="1"/>
  <c r="H38" i="61"/>
  <c r="E10" i="21"/>
  <c r="D11" i="21"/>
  <c r="E171" i="29" s="1"/>
  <c r="E21" i="21"/>
  <c r="H57" i="48"/>
  <c r="H59" i="48" s="1"/>
  <c r="I39" i="48"/>
  <c r="I35" i="61" s="1"/>
  <c r="F57" i="48"/>
  <c r="F59" i="48" s="1"/>
  <c r="F48" i="61"/>
  <c r="F35" i="61"/>
  <c r="G57" i="48"/>
  <c r="G59" i="48" s="1"/>
  <c r="H35" i="61"/>
  <c r="D21" i="21"/>
  <c r="E57" i="48"/>
  <c r="E59" i="48" s="1"/>
  <c r="E48" i="61"/>
  <c r="I48" i="61"/>
  <c r="F21" i="21"/>
  <c r="I57" i="48"/>
  <c r="B62" i="83"/>
  <c r="B90" i="83"/>
  <c r="B42" i="55"/>
  <c r="B99" i="55" s="1"/>
  <c r="C53" i="83"/>
  <c r="D69" i="83"/>
  <c r="C58" i="55"/>
  <c r="C115" i="55" s="1"/>
  <c r="B57" i="83"/>
  <c r="B85" i="83"/>
  <c r="B38" i="55"/>
  <c r="B95" i="55" s="1"/>
  <c r="C49" i="83"/>
  <c r="B35" i="55"/>
  <c r="C46" i="83"/>
  <c r="D261" i="55"/>
  <c r="B148" i="55"/>
  <c r="D207" i="55" s="1"/>
  <c r="D103" i="83"/>
  <c r="D34" i="53"/>
  <c r="D87" i="53" s="1"/>
  <c r="B19" i="84"/>
  <c r="B50" i="84" s="1"/>
  <c r="C80" i="83"/>
  <c r="B57" i="55"/>
  <c r="B114" i="55" s="1"/>
  <c r="C68" i="83"/>
  <c r="C43" i="53"/>
  <c r="C96" i="53" s="1"/>
  <c r="C112" i="83"/>
  <c r="C37" i="84"/>
  <c r="C65" i="84" s="1"/>
  <c r="D98" i="83"/>
  <c r="D124" i="83"/>
  <c r="D55" i="53"/>
  <c r="D108" i="53" s="1"/>
  <c r="D224" i="53"/>
  <c r="D157" i="53"/>
  <c r="E107" i="83"/>
  <c r="E38" i="53"/>
  <c r="E91" i="53" s="1"/>
  <c r="C45" i="53"/>
  <c r="C98" i="53" s="1"/>
  <c r="C114" i="83"/>
  <c r="D51" i="83"/>
  <c r="C40" i="55"/>
  <c r="C97" i="55" s="1"/>
  <c r="B20" i="84"/>
  <c r="B51" i="84" s="1"/>
  <c r="C81" i="83"/>
  <c r="B167" i="55"/>
  <c r="D226" i="55" s="1"/>
  <c r="D277" i="55"/>
  <c r="C50" i="53"/>
  <c r="C103" i="53" s="1"/>
  <c r="C119" i="83"/>
  <c r="C44" i="53"/>
  <c r="C97" i="53" s="1"/>
  <c r="C113" i="83"/>
  <c r="C46" i="53"/>
  <c r="C99" i="53" s="1"/>
  <c r="C115" i="83"/>
  <c r="D79" i="83"/>
  <c r="C18" i="84"/>
  <c r="C49" i="84" s="1"/>
  <c r="D70" i="83"/>
  <c r="C59" i="55"/>
  <c r="C116" i="55" s="1"/>
  <c r="D155" i="53"/>
  <c r="D222" i="53"/>
  <c r="B56" i="55"/>
  <c r="B113" i="55" s="1"/>
  <c r="C67" i="83"/>
  <c r="B41" i="55"/>
  <c r="B98" i="55" s="1"/>
  <c r="C52" i="83"/>
  <c r="I35" i="42"/>
  <c r="D104" i="83"/>
  <c r="D35" i="53"/>
  <c r="D88" i="53" s="1"/>
  <c r="E241" i="53"/>
  <c r="E177" i="53"/>
  <c r="C47" i="53"/>
  <c r="C100" i="53" s="1"/>
  <c r="C116" i="83"/>
  <c r="D102" i="83"/>
  <c r="D33" i="53"/>
  <c r="D86" i="53" s="1"/>
  <c r="D240" i="53"/>
  <c r="D176" i="53"/>
  <c r="B93" i="83"/>
  <c r="B65" i="83"/>
  <c r="C65" i="83" s="1"/>
  <c r="D65" i="83" s="1"/>
  <c r="E65" i="83" s="1"/>
  <c r="F65" i="83" s="1"/>
  <c r="G65" i="83" s="1"/>
  <c r="H65" i="83" s="1"/>
  <c r="B21" i="84"/>
  <c r="B52" i="84" s="1"/>
  <c r="C82" i="83"/>
  <c r="B66" i="83"/>
  <c r="C66" i="83" s="1"/>
  <c r="D66" i="83" s="1"/>
  <c r="E66" i="83" s="1"/>
  <c r="F66" i="83" s="1"/>
  <c r="G66" i="83" s="1"/>
  <c r="H66" i="83" s="1"/>
  <c r="B94" i="83"/>
  <c r="B58" i="83"/>
  <c r="B86" i="83"/>
  <c r="B149" i="55"/>
  <c r="D208" i="55" s="1"/>
  <c r="D262" i="55"/>
  <c r="F20" i="21"/>
  <c r="I51" i="61"/>
  <c r="J44" i="48"/>
  <c r="K23" i="48"/>
  <c r="J31" i="48"/>
  <c r="J35" i="48"/>
  <c r="J32" i="48"/>
  <c r="J36" i="48"/>
  <c r="J52" i="48"/>
  <c r="J56" i="48" s="1"/>
  <c r="G31" i="21" s="1"/>
  <c r="J29" i="48"/>
  <c r="J33" i="48"/>
  <c r="J37" i="48"/>
  <c r="J34" i="48"/>
  <c r="J38" i="48"/>
  <c r="J30" i="48"/>
  <c r="J43" i="48"/>
  <c r="J28" i="48"/>
  <c r="B15" i="84"/>
  <c r="B46" i="84" s="1"/>
  <c r="C76" i="83"/>
  <c r="D123" i="83"/>
  <c r="D54" i="53"/>
  <c r="D107" i="53" s="1"/>
  <c r="D108" i="83"/>
  <c r="D39" i="53"/>
  <c r="D92" i="53" s="1"/>
  <c r="J180" i="84"/>
  <c r="J181" i="84"/>
  <c r="B87" i="83"/>
  <c r="B59" i="83"/>
  <c r="F34" i="72"/>
  <c r="G33" i="72"/>
  <c r="B168" i="55"/>
  <c r="D227" i="55" s="1"/>
  <c r="D278" i="55"/>
  <c r="D97" i="83"/>
  <c r="C36" i="84"/>
  <c r="C64" i="84" s="1"/>
  <c r="B92" i="83"/>
  <c r="B64" i="83"/>
  <c r="C64" i="83" s="1"/>
  <c r="D64" i="83" s="1"/>
  <c r="E64" i="83" s="1"/>
  <c r="F64" i="83" s="1"/>
  <c r="G64" i="83" s="1"/>
  <c r="H64" i="83" s="1"/>
  <c r="E178" i="53"/>
  <c r="E242" i="53"/>
  <c r="B61" i="83"/>
  <c r="B89" i="83"/>
  <c r="J30" i="42"/>
  <c r="J38" i="42"/>
  <c r="D156" i="53"/>
  <c r="D223" i="53"/>
  <c r="E125" i="83"/>
  <c r="E56" i="53"/>
  <c r="E109" i="53" s="1"/>
  <c r="B60" i="83"/>
  <c r="B88" i="83"/>
  <c r="D154" i="53"/>
  <c r="D221" i="53"/>
  <c r="D78" i="83"/>
  <c r="C17" i="84"/>
  <c r="C48" i="84" s="1"/>
  <c r="B14" i="84"/>
  <c r="B45" i="84" s="1"/>
  <c r="C75" i="83"/>
  <c r="C52" i="53"/>
  <c r="C105" i="53" s="1"/>
  <c r="D173" i="53" s="1"/>
  <c r="C121" i="83"/>
  <c r="B43" i="55"/>
  <c r="B100" i="55" s="1"/>
  <c r="C54" i="83"/>
  <c r="C53" i="53"/>
  <c r="C106" i="53" s="1"/>
  <c r="D174" i="53" s="1"/>
  <c r="C122" i="83"/>
  <c r="D162" i="53"/>
  <c r="D229" i="53"/>
  <c r="G41" i="84"/>
  <c r="G44" i="84" s="1"/>
  <c r="H40" i="84"/>
  <c r="H41" i="84" s="1"/>
  <c r="H44" i="84" s="1"/>
  <c r="B91" i="83"/>
  <c r="B63" i="83"/>
  <c r="C42" i="53"/>
  <c r="C95" i="53" s="1"/>
  <c r="C111" i="83"/>
  <c r="E106" i="83"/>
  <c r="E37" i="53"/>
  <c r="E90" i="53" s="1"/>
  <c r="B34" i="84"/>
  <c r="B62" i="84" s="1"/>
  <c r="C95" i="83"/>
  <c r="D161" i="53"/>
  <c r="D228" i="53"/>
  <c r="C49" i="53"/>
  <c r="C102" i="53" s="1"/>
  <c r="C118" i="83"/>
  <c r="D110" i="83"/>
  <c r="D41" i="53"/>
  <c r="D94" i="53" s="1"/>
  <c r="B37" i="55"/>
  <c r="B94" i="55" s="1"/>
  <c r="C48" i="83"/>
  <c r="D175" i="53"/>
  <c r="D239" i="53"/>
  <c r="D160" i="53"/>
  <c r="D227" i="53"/>
  <c r="I185" i="84"/>
  <c r="G33" i="21" s="1"/>
  <c r="B16" i="84"/>
  <c r="B47" i="84" s="1"/>
  <c r="C77" i="83"/>
  <c r="B55" i="83"/>
  <c r="B83" i="83"/>
  <c r="B44" i="84"/>
  <c r="E225" i="53"/>
  <c r="E158" i="53"/>
  <c r="D50" i="83"/>
  <c r="C39" i="55"/>
  <c r="C96" i="55" s="1"/>
  <c r="C51" i="53"/>
  <c r="C104" i="53" s="1"/>
  <c r="D172" i="53" s="1"/>
  <c r="C120" i="83"/>
  <c r="E126" i="83"/>
  <c r="E57" i="53"/>
  <c r="E110" i="53" s="1"/>
  <c r="C48" i="53"/>
  <c r="C101" i="53" s="1"/>
  <c r="C117" i="83"/>
  <c r="B35" i="84"/>
  <c r="B63" i="84" s="1"/>
  <c r="C96" i="83"/>
  <c r="B56" i="83"/>
  <c r="B84" i="83"/>
  <c r="C47" i="83"/>
  <c r="B36" i="55"/>
  <c r="B93" i="55" s="1"/>
  <c r="D105" i="83"/>
  <c r="D36" i="53"/>
  <c r="D89" i="53" s="1"/>
  <c r="E159" i="53"/>
  <c r="E226" i="53"/>
  <c r="D109" i="83"/>
  <c r="D40" i="53"/>
  <c r="D93" i="53" s="1"/>
  <c r="D156" i="29"/>
  <c r="D141" i="29"/>
  <c r="D126" i="29"/>
  <c r="D35" i="29"/>
  <c r="D171" i="29"/>
  <c r="F156" i="29"/>
  <c r="F141" i="29"/>
  <c r="F126" i="29"/>
  <c r="F35" i="29"/>
  <c r="F171" i="29"/>
  <c r="C171" i="29"/>
  <c r="C156" i="29"/>
  <c r="C141" i="29"/>
  <c r="C126" i="29"/>
  <c r="C35" i="29"/>
  <c r="O52" i="22"/>
  <c r="L59" i="22"/>
  <c r="M56" i="22" s="1"/>
  <c r="M57" i="22" s="1"/>
  <c r="M59" i="22" s="1"/>
  <c r="N56" i="22" s="1"/>
  <c r="N57" i="22" s="1"/>
  <c r="N59" i="22" s="1"/>
  <c r="O56" i="22" s="1"/>
  <c r="B44" i="72"/>
  <c r="C74" i="81"/>
  <c r="C20" i="72" s="1"/>
  <c r="B42" i="72"/>
  <c r="C72" i="81"/>
  <c r="C18" i="72" s="1"/>
  <c r="B40" i="72"/>
  <c r="C70" i="81"/>
  <c r="C16" i="72" s="1"/>
  <c r="B38" i="72"/>
  <c r="C68" i="81"/>
  <c r="C14" i="72" s="1"/>
  <c r="B43" i="72"/>
  <c r="C73" i="81"/>
  <c r="C19" i="72" s="1"/>
  <c r="B17" i="72"/>
  <c r="B41" i="72" s="1"/>
  <c r="C71" i="81"/>
  <c r="B15" i="72"/>
  <c r="B39" i="72" s="1"/>
  <c r="C69" i="81"/>
  <c r="C67" i="81"/>
  <c r="C74" i="53"/>
  <c r="C104" i="81"/>
  <c r="D21" i="53" s="1"/>
  <c r="B83" i="81"/>
  <c r="B58" i="81"/>
  <c r="B57" i="81"/>
  <c r="B82" i="81"/>
  <c r="B77" i="81"/>
  <c r="B23" i="72" s="1"/>
  <c r="B52" i="81"/>
  <c r="D99" i="81"/>
  <c r="E16" i="53" s="1"/>
  <c r="D69" i="53"/>
  <c r="D97" i="81"/>
  <c r="E14" i="53" s="1"/>
  <c r="D67" i="53"/>
  <c r="D95" i="81"/>
  <c r="E12" i="53" s="1"/>
  <c r="D65" i="53"/>
  <c r="D93" i="81"/>
  <c r="E10" i="53" s="1"/>
  <c r="D63" i="53"/>
  <c r="B85" i="81"/>
  <c r="B60" i="81"/>
  <c r="C28" i="53"/>
  <c r="C81" i="53" s="1"/>
  <c r="C111" i="81"/>
  <c r="C29" i="53"/>
  <c r="C82" i="53" s="1"/>
  <c r="C112" i="81"/>
  <c r="B21" i="72"/>
  <c r="B45" i="72" s="1"/>
  <c r="C75" i="81"/>
  <c r="D136" i="53"/>
  <c r="D203" i="53"/>
  <c r="D134" i="53"/>
  <c r="D201" i="53"/>
  <c r="D132" i="53"/>
  <c r="D199" i="53"/>
  <c r="D130" i="53"/>
  <c r="D197" i="53"/>
  <c r="C23" i="53"/>
  <c r="C76" i="53" s="1"/>
  <c r="C106" i="81"/>
  <c r="C75" i="53"/>
  <c r="C105" i="81"/>
  <c r="D22" i="53" s="1"/>
  <c r="C71" i="53"/>
  <c r="C101" i="81"/>
  <c r="D18" i="53" s="1"/>
  <c r="C73" i="53"/>
  <c r="C103" i="81"/>
  <c r="D20" i="53" s="1"/>
  <c r="B18" i="55"/>
  <c r="B75" i="55" s="1"/>
  <c r="C49" i="81"/>
  <c r="B16" i="55"/>
  <c r="B73" i="55" s="1"/>
  <c r="C47" i="81"/>
  <c r="B14" i="55"/>
  <c r="B71" i="55" s="1"/>
  <c r="C45" i="81"/>
  <c r="B12" i="55"/>
  <c r="C43" i="81"/>
  <c r="B84" i="81"/>
  <c r="B59" i="81"/>
  <c r="B30" i="55"/>
  <c r="B87" i="55" s="1"/>
  <c r="C61" i="81"/>
  <c r="C48" i="81"/>
  <c r="B17" i="55"/>
  <c r="B74" i="55" s="1"/>
  <c r="C46" i="81"/>
  <c r="B15" i="55"/>
  <c r="B72" i="55" s="1"/>
  <c r="C44" i="81"/>
  <c r="B13" i="55"/>
  <c r="B70" i="55" s="1"/>
  <c r="C42" i="81"/>
  <c r="B11" i="55"/>
  <c r="K27" i="55" s="1"/>
  <c r="L27" i="55" s="1"/>
  <c r="B54" i="81"/>
  <c r="B79" i="81"/>
  <c r="C25" i="53"/>
  <c r="C78" i="53" s="1"/>
  <c r="C108" i="81"/>
  <c r="C24" i="53"/>
  <c r="C77" i="53" s="1"/>
  <c r="C107" i="81"/>
  <c r="C72" i="53"/>
  <c r="C102" i="81"/>
  <c r="D19" i="53" s="1"/>
  <c r="D137" i="53"/>
  <c r="D204" i="53"/>
  <c r="D135" i="53"/>
  <c r="D202" i="53"/>
  <c r="D133" i="53"/>
  <c r="D200" i="53"/>
  <c r="D131" i="53"/>
  <c r="D198" i="53"/>
  <c r="C27" i="53"/>
  <c r="C80" i="53" s="1"/>
  <c r="C110" i="81"/>
  <c r="B62" i="81"/>
  <c r="B87" i="81"/>
  <c r="C87" i="81" s="1"/>
  <c r="D87" i="81" s="1"/>
  <c r="E87" i="81" s="1"/>
  <c r="F87" i="81" s="1"/>
  <c r="G87" i="81" s="1"/>
  <c r="H87" i="81" s="1"/>
  <c r="B19" i="55"/>
  <c r="B76" i="55" s="1"/>
  <c r="C50" i="81"/>
  <c r="D98" i="81"/>
  <c r="E15" i="53" s="1"/>
  <c r="D68" i="53"/>
  <c r="D96" i="81"/>
  <c r="E13" i="53" s="1"/>
  <c r="D66" i="53"/>
  <c r="D94" i="81"/>
  <c r="E11" i="53" s="1"/>
  <c r="D64" i="53"/>
  <c r="D92" i="81"/>
  <c r="E9" i="53" s="1"/>
  <c r="D62" i="53"/>
  <c r="B81" i="81"/>
  <c r="B56" i="81"/>
  <c r="B55" i="81"/>
  <c r="B80" i="81"/>
  <c r="B26" i="72" s="1"/>
  <c r="B76" i="81"/>
  <c r="B22" i="72" s="1"/>
  <c r="B51" i="81"/>
  <c r="B78" i="81"/>
  <c r="B24" i="72" s="1"/>
  <c r="B53" i="81"/>
  <c r="P51" i="22"/>
  <c r="P53" i="22" s="1"/>
  <c r="Q50" i="22" s="1"/>
  <c r="L65" i="22"/>
  <c r="M62" i="22" s="1"/>
  <c r="C15" i="29" l="1"/>
  <c r="C71" i="29" s="1"/>
  <c r="H46" i="42"/>
  <c r="H48" i="42" s="1"/>
  <c r="E36" i="21"/>
  <c r="F162" i="29" s="1"/>
  <c r="E162" i="29"/>
  <c r="E23" i="68"/>
  <c r="H301" i="55"/>
  <c r="F28" i="21" s="1"/>
  <c r="B69" i="55"/>
  <c r="B121" i="55" s="1"/>
  <c r="D179" i="55" s="1"/>
  <c r="K29" i="55"/>
  <c r="L29" i="55" s="1"/>
  <c r="C66" i="22"/>
  <c r="B13" i="69" s="1"/>
  <c r="E147" i="29"/>
  <c r="L44" i="22"/>
  <c r="L45" i="22" s="1"/>
  <c r="L46" i="22" s="1"/>
  <c r="G45" i="22"/>
  <c r="G67" i="22" s="1"/>
  <c r="F42" i="21" s="1"/>
  <c r="G60" i="29" s="1"/>
  <c r="H45" i="22"/>
  <c r="H67" i="22" s="1"/>
  <c r="G42" i="21" s="1"/>
  <c r="I11" i="29" s="1"/>
  <c r="D45" i="22"/>
  <c r="D46" i="22" s="1"/>
  <c r="E177" i="29"/>
  <c r="E45" i="22"/>
  <c r="E67" i="22" s="1"/>
  <c r="D14" i="69" s="1"/>
  <c r="C147" i="29"/>
  <c r="C162" i="29"/>
  <c r="C177" i="29"/>
  <c r="I45" i="22"/>
  <c r="I67" i="22" s="1"/>
  <c r="F45" i="22"/>
  <c r="F67" i="22" s="1"/>
  <c r="E14" i="69" s="1"/>
  <c r="C47" i="22"/>
  <c r="D44" i="22" s="1"/>
  <c r="E132" i="29"/>
  <c r="C132" i="29"/>
  <c r="B34" i="69"/>
  <c r="C34" i="69" s="1"/>
  <c r="D34" i="69" s="1"/>
  <c r="E34" i="69" s="1"/>
  <c r="F34" i="69" s="1"/>
  <c r="G34" i="69" s="1"/>
  <c r="H34" i="69" s="1"/>
  <c r="C9" i="68"/>
  <c r="J172" i="55"/>
  <c r="I295" i="55"/>
  <c r="I296" i="55"/>
  <c r="I294" i="55"/>
  <c r="I280" i="55"/>
  <c r="I199" i="55"/>
  <c r="I254" i="55"/>
  <c r="I255" i="55"/>
  <c r="I223" i="55"/>
  <c r="I221" i="55"/>
  <c r="I222" i="55"/>
  <c r="I279" i="55"/>
  <c r="I267" i="53"/>
  <c r="I266" i="53"/>
  <c r="I152" i="53"/>
  <c r="I214" i="53"/>
  <c r="I205" i="53"/>
  <c r="J124" i="53"/>
  <c r="I268" i="53"/>
  <c r="I219" i="53"/>
  <c r="I243" i="53"/>
  <c r="I265" i="53"/>
  <c r="I41" i="42"/>
  <c r="I44" i="42" s="1"/>
  <c r="G30" i="21" s="1"/>
  <c r="H273" i="53"/>
  <c r="F32" i="21" s="1"/>
  <c r="J8" i="22"/>
  <c r="J20" i="22"/>
  <c r="J21" i="22"/>
  <c r="J23" i="22"/>
  <c r="J18" i="22"/>
  <c r="J15" i="22"/>
  <c r="J11" i="22"/>
  <c r="J16" i="22"/>
  <c r="J12" i="22"/>
  <c r="J17" i="22"/>
  <c r="J22" i="22"/>
  <c r="J19" i="22"/>
  <c r="J13" i="22"/>
  <c r="J10" i="22"/>
  <c r="J14" i="22"/>
  <c r="J9" i="22"/>
  <c r="I24" i="22"/>
  <c r="F35" i="21" s="1"/>
  <c r="L40" i="22"/>
  <c r="C40" i="22"/>
  <c r="C67" i="22"/>
  <c r="G30" i="53"/>
  <c r="G83" i="53" s="1"/>
  <c r="G113" i="81"/>
  <c r="G151" i="53"/>
  <c r="G218" i="53"/>
  <c r="M58" i="22"/>
  <c r="N58" i="22" s="1"/>
  <c r="F10" i="21"/>
  <c r="I38" i="61"/>
  <c r="F170" i="29"/>
  <c r="F140" i="29"/>
  <c r="F125" i="29"/>
  <c r="F155" i="29"/>
  <c r="F34" i="29"/>
  <c r="I22" i="42"/>
  <c r="I24" i="42" s="1"/>
  <c r="H10" i="42"/>
  <c r="E141" i="29"/>
  <c r="F11" i="21"/>
  <c r="G141" i="29" s="1"/>
  <c r="E126" i="29"/>
  <c r="E156" i="29"/>
  <c r="I59" i="48"/>
  <c r="E35" i="29"/>
  <c r="J35" i="42"/>
  <c r="K51" i="61" s="1"/>
  <c r="B22" i="84"/>
  <c r="C83" i="83"/>
  <c r="E110" i="83"/>
  <c r="E41" i="53"/>
  <c r="E94" i="53" s="1"/>
  <c r="H33" i="72"/>
  <c r="H34" i="72" s="1"/>
  <c r="G34" i="72"/>
  <c r="D76" i="83"/>
  <c r="C15" i="84"/>
  <c r="C46" i="84" s="1"/>
  <c r="C149" i="55"/>
  <c r="E208" i="55" s="1"/>
  <c r="E262" i="55"/>
  <c r="E240" i="53"/>
  <c r="E176" i="53"/>
  <c r="D112" i="83"/>
  <c r="D43" i="53"/>
  <c r="D96" i="53" s="1"/>
  <c r="D49" i="83"/>
  <c r="C38" i="55"/>
  <c r="C95" i="55" s="1"/>
  <c r="E277" i="55"/>
  <c r="C167" i="55"/>
  <c r="E226" i="55" s="1"/>
  <c r="B29" i="84"/>
  <c r="B60" i="84" s="1"/>
  <c r="C90" i="83"/>
  <c r="D47" i="83"/>
  <c r="C36" i="55"/>
  <c r="C93" i="55" s="1"/>
  <c r="D96" i="83"/>
  <c r="C35" i="84"/>
  <c r="C63" i="84" s="1"/>
  <c r="D169" i="53"/>
  <c r="D236" i="53"/>
  <c r="B44" i="55"/>
  <c r="B101" i="55" s="1"/>
  <c r="C55" i="83"/>
  <c r="D48" i="83"/>
  <c r="C37" i="55"/>
  <c r="C94" i="55" s="1"/>
  <c r="D118" i="83"/>
  <c r="D49" i="53"/>
  <c r="D102" i="53" s="1"/>
  <c r="F106" i="83"/>
  <c r="F37" i="53"/>
  <c r="F90" i="53" s="1"/>
  <c r="B30" i="84"/>
  <c r="B61" i="84" s="1"/>
  <c r="C91" i="83"/>
  <c r="D17" i="84"/>
  <c r="D48" i="84" s="1"/>
  <c r="E78" i="83"/>
  <c r="B49" i="55"/>
  <c r="B106" i="55" s="1"/>
  <c r="C60" i="83"/>
  <c r="E97" i="83"/>
  <c r="D36" i="84"/>
  <c r="D64" i="84" s="1"/>
  <c r="J185" i="84"/>
  <c r="H33" i="21" s="1"/>
  <c r="E39" i="53"/>
  <c r="E92" i="53" s="1"/>
  <c r="E108" i="83"/>
  <c r="B33" i="84"/>
  <c r="C94" i="83"/>
  <c r="D82" i="83"/>
  <c r="C21" i="84"/>
  <c r="C52" i="84" s="1"/>
  <c r="D116" i="83"/>
  <c r="D47" i="53"/>
  <c r="D100" i="53" s="1"/>
  <c r="E223" i="53"/>
  <c r="E156" i="53"/>
  <c r="D263" i="55"/>
  <c r="B150" i="55"/>
  <c r="D209" i="55" s="1"/>
  <c r="E79" i="83"/>
  <c r="D18" i="84"/>
  <c r="D49" i="84" s="1"/>
  <c r="D165" i="53"/>
  <c r="D232" i="53"/>
  <c r="E51" i="83"/>
  <c r="D40" i="55"/>
  <c r="D97" i="55" s="1"/>
  <c r="F107" i="83"/>
  <c r="F38" i="53"/>
  <c r="F91" i="53" s="1"/>
  <c r="E124" i="83"/>
  <c r="E55" i="53"/>
  <c r="E108" i="53" s="1"/>
  <c r="D164" i="53"/>
  <c r="D231" i="53"/>
  <c r="B147" i="55"/>
  <c r="D206" i="55" s="1"/>
  <c r="D260" i="55"/>
  <c r="E69" i="83"/>
  <c r="D58" i="55"/>
  <c r="D115" i="55" s="1"/>
  <c r="B51" i="55"/>
  <c r="B108" i="55" s="1"/>
  <c r="C62" i="83"/>
  <c r="B45" i="55"/>
  <c r="B102" i="55" s="1"/>
  <c r="C56" i="83"/>
  <c r="D120" i="83"/>
  <c r="D51" i="53"/>
  <c r="D104" i="53" s="1"/>
  <c r="E172" i="53" s="1"/>
  <c r="F158" i="53"/>
  <c r="F225" i="53"/>
  <c r="B52" i="55"/>
  <c r="B109" i="55" s="1"/>
  <c r="C63" i="83"/>
  <c r="D121" i="83"/>
  <c r="D52" i="53"/>
  <c r="D105" i="53" s="1"/>
  <c r="E173" i="53" s="1"/>
  <c r="B27" i="84"/>
  <c r="B58" i="84" s="1"/>
  <c r="C88" i="83"/>
  <c r="E102" i="83"/>
  <c r="E33" i="53"/>
  <c r="E86" i="53" s="1"/>
  <c r="D52" i="83"/>
  <c r="C41" i="55"/>
  <c r="C98" i="55" s="1"/>
  <c r="E228" i="53"/>
  <c r="E161" i="53"/>
  <c r="E224" i="53"/>
  <c r="E157" i="53"/>
  <c r="F242" i="53"/>
  <c r="F178" i="53"/>
  <c r="E261" i="55"/>
  <c r="C148" i="55"/>
  <c r="E207" i="55" s="1"/>
  <c r="C16" i="84"/>
  <c r="C47" i="84" s="1"/>
  <c r="D77" i="83"/>
  <c r="B146" i="55"/>
  <c r="D205" i="55" s="1"/>
  <c r="D259" i="55"/>
  <c r="D170" i="53"/>
  <c r="D237" i="53"/>
  <c r="D95" i="83"/>
  <c r="C34" i="84"/>
  <c r="C62" i="84" s="1"/>
  <c r="D111" i="83"/>
  <c r="D42" i="53"/>
  <c r="D95" i="53" s="1"/>
  <c r="D122" i="83"/>
  <c r="D53" i="53"/>
  <c r="D106" i="53" s="1"/>
  <c r="E174" i="53" s="1"/>
  <c r="D54" i="83"/>
  <c r="C43" i="55"/>
  <c r="C100" i="55" s="1"/>
  <c r="D75" i="83"/>
  <c r="C14" i="84"/>
  <c r="F241" i="53"/>
  <c r="F177" i="53"/>
  <c r="B28" i="84"/>
  <c r="B59" i="84" s="1"/>
  <c r="C89" i="83"/>
  <c r="B48" i="55"/>
  <c r="B105" i="55" s="1"/>
  <c r="C59" i="83"/>
  <c r="E175" i="53"/>
  <c r="E239" i="53"/>
  <c r="J39" i="48"/>
  <c r="B25" i="84"/>
  <c r="B56" i="84" s="1"/>
  <c r="C86" i="83"/>
  <c r="D168" i="53"/>
  <c r="D235" i="53"/>
  <c r="E104" i="83"/>
  <c r="E35" i="53"/>
  <c r="E88" i="53" s="1"/>
  <c r="C56" i="55"/>
  <c r="C113" i="55" s="1"/>
  <c r="D67" i="83"/>
  <c r="E278" i="55"/>
  <c r="C168" i="55"/>
  <c r="E227" i="55" s="1"/>
  <c r="D115" i="83"/>
  <c r="D46" i="53"/>
  <c r="D99" i="53" s="1"/>
  <c r="D119" i="83"/>
  <c r="D50" i="53"/>
  <c r="D103" i="53" s="1"/>
  <c r="C20" i="84"/>
  <c r="C51" i="84" s="1"/>
  <c r="D81" i="83"/>
  <c r="D114" i="83"/>
  <c r="D45" i="53"/>
  <c r="D98" i="53" s="1"/>
  <c r="E98" i="83"/>
  <c r="D37" i="84"/>
  <c r="D65" i="84" s="1"/>
  <c r="D68" i="83"/>
  <c r="C57" i="55"/>
  <c r="C114" i="55" s="1"/>
  <c r="E155" i="53"/>
  <c r="E222" i="53"/>
  <c r="D46" i="83"/>
  <c r="C35" i="55"/>
  <c r="B24" i="84"/>
  <c r="B55" i="84" s="1"/>
  <c r="C85" i="83"/>
  <c r="D53" i="83"/>
  <c r="C42" i="55"/>
  <c r="C99" i="55" s="1"/>
  <c r="B145" i="55"/>
  <c r="D204" i="55" s="1"/>
  <c r="D258" i="55"/>
  <c r="D117" i="83"/>
  <c r="D48" i="53"/>
  <c r="D101" i="53" s="1"/>
  <c r="E227" i="53"/>
  <c r="E160" i="53"/>
  <c r="B32" i="84"/>
  <c r="C93" i="83"/>
  <c r="D113" i="83"/>
  <c r="D44" i="53"/>
  <c r="D97" i="53" s="1"/>
  <c r="F226" i="53"/>
  <c r="F159" i="53"/>
  <c r="D80" i="83"/>
  <c r="C19" i="84"/>
  <c r="C50" i="84" s="1"/>
  <c r="E109" i="83"/>
  <c r="E40" i="53"/>
  <c r="E93" i="53" s="1"/>
  <c r="E105" i="83"/>
  <c r="E36" i="53"/>
  <c r="E89" i="53" s="1"/>
  <c r="B23" i="84"/>
  <c r="B54" i="84" s="1"/>
  <c r="C84" i="83"/>
  <c r="F126" i="83"/>
  <c r="F57" i="53"/>
  <c r="F110" i="53" s="1"/>
  <c r="E50" i="83"/>
  <c r="D39" i="55"/>
  <c r="D96" i="55" s="1"/>
  <c r="E229" i="53"/>
  <c r="E162" i="53"/>
  <c r="B126" i="84"/>
  <c r="B143" i="84" s="1"/>
  <c r="D156" i="84" s="1"/>
  <c r="B125" i="84"/>
  <c r="B142" i="84" s="1"/>
  <c r="D155" i="84" s="1"/>
  <c r="B124" i="84"/>
  <c r="B141" i="84" s="1"/>
  <c r="D167" i="84"/>
  <c r="D164" i="84"/>
  <c r="D163" i="84"/>
  <c r="D163" i="53"/>
  <c r="D230" i="53"/>
  <c r="B152" i="55"/>
  <c r="D211" i="55" s="1"/>
  <c r="D265" i="55"/>
  <c r="F125" i="83"/>
  <c r="F56" i="53"/>
  <c r="F109" i="53" s="1"/>
  <c r="B50" i="55"/>
  <c r="B107" i="55" s="1"/>
  <c r="C61" i="83"/>
  <c r="B31" i="84"/>
  <c r="C92" i="83"/>
  <c r="B26" i="84"/>
  <c r="B57" i="84" s="1"/>
  <c r="C87" i="83"/>
  <c r="E123" i="83"/>
  <c r="E54" i="53"/>
  <c r="E107" i="53" s="1"/>
  <c r="J49" i="48"/>
  <c r="K44" i="48"/>
  <c r="K29" i="48"/>
  <c r="K33" i="48"/>
  <c r="K37" i="48"/>
  <c r="K34" i="48"/>
  <c r="K38" i="48"/>
  <c r="K31" i="48"/>
  <c r="K35" i="48"/>
  <c r="K36" i="48"/>
  <c r="K32" i="48"/>
  <c r="K52" i="48"/>
  <c r="K56" i="48" s="1"/>
  <c r="H31" i="21" s="1"/>
  <c r="K30" i="48"/>
  <c r="K43" i="48"/>
  <c r="K49" i="48" s="1"/>
  <c r="K28" i="48"/>
  <c r="B47" i="55"/>
  <c r="B104" i="55" s="1"/>
  <c r="C58" i="83"/>
  <c r="E221" i="53"/>
  <c r="E154" i="53"/>
  <c r="G20" i="21"/>
  <c r="J51" i="61"/>
  <c r="B165" i="55"/>
  <c r="D224" i="55" s="1"/>
  <c r="D275" i="55"/>
  <c r="E70" i="83"/>
  <c r="D59" i="55"/>
  <c r="D116" i="55" s="1"/>
  <c r="D167" i="53"/>
  <c r="D234" i="53"/>
  <c r="D171" i="53"/>
  <c r="D238" i="53"/>
  <c r="D166" i="53"/>
  <c r="D233" i="53"/>
  <c r="B166" i="55"/>
  <c r="D225" i="55" s="1"/>
  <c r="D276" i="55"/>
  <c r="E103" i="83"/>
  <c r="E34" i="53"/>
  <c r="E87" i="53" s="1"/>
  <c r="B92" i="55"/>
  <c r="B46" i="55"/>
  <c r="B103" i="55" s="1"/>
  <c r="C57" i="83"/>
  <c r="B151" i="55"/>
  <c r="D210" i="55" s="1"/>
  <c r="D264" i="55"/>
  <c r="P52" i="22"/>
  <c r="C114" i="53"/>
  <c r="D182" i="53" s="1"/>
  <c r="B22" i="55"/>
  <c r="B79" i="55" s="1"/>
  <c r="C53" i="81"/>
  <c r="B20" i="55"/>
  <c r="B77" i="55" s="1"/>
  <c r="C51" i="81"/>
  <c r="B50" i="72"/>
  <c r="C80" i="81"/>
  <c r="C26" i="72" s="1"/>
  <c r="B25" i="55"/>
  <c r="B82" i="55" s="1"/>
  <c r="C56" i="81"/>
  <c r="E197" i="53"/>
  <c r="E130" i="53"/>
  <c r="E199" i="53"/>
  <c r="E132" i="53"/>
  <c r="E201" i="53"/>
  <c r="E134" i="53"/>
  <c r="E203" i="53"/>
  <c r="E136" i="53"/>
  <c r="D50" i="81"/>
  <c r="C19" i="55"/>
  <c r="C76" i="55" s="1"/>
  <c r="D110" i="81"/>
  <c r="D27" i="53"/>
  <c r="D80" i="53" s="1"/>
  <c r="D102" i="81"/>
  <c r="E19" i="53" s="1"/>
  <c r="D72" i="53"/>
  <c r="D107" i="81"/>
  <c r="D24" i="53"/>
  <c r="D77" i="53" s="1"/>
  <c r="D108" i="81"/>
  <c r="D25" i="53"/>
  <c r="D78" i="53" s="1"/>
  <c r="B25" i="72"/>
  <c r="B49" i="72" s="1"/>
  <c r="C79" i="81"/>
  <c r="B68" i="55"/>
  <c r="B120" i="55" s="1"/>
  <c r="B122" i="55"/>
  <c r="D180" i="55" s="1"/>
  <c r="D235" i="55"/>
  <c r="B124" i="55"/>
  <c r="D182" i="55" s="1"/>
  <c r="D237" i="55"/>
  <c r="B126" i="55"/>
  <c r="D184" i="55" s="1"/>
  <c r="D239" i="55"/>
  <c r="D61" i="81"/>
  <c r="C30" i="55"/>
  <c r="C87" i="55" s="1"/>
  <c r="B28" i="55"/>
  <c r="B85" i="55" s="1"/>
  <c r="C59" i="81"/>
  <c r="D43" i="81"/>
  <c r="C12" i="55"/>
  <c r="C69" i="55" s="1"/>
  <c r="D45" i="81"/>
  <c r="C14" i="55"/>
  <c r="C71" i="55" s="1"/>
  <c r="D47" i="81"/>
  <c r="C16" i="55"/>
  <c r="C73" i="55" s="1"/>
  <c r="D49" i="81"/>
  <c r="C18" i="55"/>
  <c r="C75" i="55" s="1"/>
  <c r="D103" i="81"/>
  <c r="E20" i="53" s="1"/>
  <c r="D73" i="53"/>
  <c r="D101" i="81"/>
  <c r="E18" i="53" s="1"/>
  <c r="D71" i="53"/>
  <c r="D105" i="81"/>
  <c r="E22" i="53" s="1"/>
  <c r="D75" i="53"/>
  <c r="D106" i="81"/>
  <c r="D23" i="53"/>
  <c r="D76" i="53" s="1"/>
  <c r="D217" i="53"/>
  <c r="D150" i="53"/>
  <c r="D149" i="53"/>
  <c r="D216" i="53"/>
  <c r="B31" i="72"/>
  <c r="B55" i="72" s="1"/>
  <c r="C85" i="81"/>
  <c r="E93" i="81"/>
  <c r="F10" i="53" s="1"/>
  <c r="E63" i="53"/>
  <c r="E95" i="81"/>
  <c r="F12" i="53" s="1"/>
  <c r="E65" i="53"/>
  <c r="E97" i="81"/>
  <c r="F14" i="53" s="1"/>
  <c r="E67" i="53"/>
  <c r="E99" i="81"/>
  <c r="F16" i="53" s="1"/>
  <c r="E69" i="53"/>
  <c r="B47" i="72"/>
  <c r="C77" i="81"/>
  <c r="C23" i="72" s="1"/>
  <c r="B26" i="55"/>
  <c r="B83" i="55" s="1"/>
  <c r="C57" i="81"/>
  <c r="B29" i="72"/>
  <c r="B53" i="72" s="1"/>
  <c r="C83" i="81"/>
  <c r="D142" i="53"/>
  <c r="D209" i="53"/>
  <c r="B37" i="72"/>
  <c r="B63" i="72"/>
  <c r="D153" i="72"/>
  <c r="B64" i="72"/>
  <c r="B70" i="72"/>
  <c r="D142" i="72" s="1"/>
  <c r="D155" i="72"/>
  <c r="B71" i="72"/>
  <c r="D154" i="72"/>
  <c r="B78" i="72"/>
  <c r="B79" i="72"/>
  <c r="C119" i="53"/>
  <c r="C116" i="53"/>
  <c r="B48" i="72"/>
  <c r="C78" i="81"/>
  <c r="C24" i="72" s="1"/>
  <c r="B46" i="72"/>
  <c r="C76" i="81"/>
  <c r="C22" i="72" s="1"/>
  <c r="B24" i="55"/>
  <c r="B81" i="55" s="1"/>
  <c r="C55" i="81"/>
  <c r="B27" i="72"/>
  <c r="B51" i="72" s="1"/>
  <c r="C81" i="81"/>
  <c r="E92" i="81"/>
  <c r="F9" i="53" s="1"/>
  <c r="E62" i="53"/>
  <c r="E94" i="81"/>
  <c r="F11" i="53" s="1"/>
  <c r="E64" i="53"/>
  <c r="E96" i="81"/>
  <c r="F13" i="53" s="1"/>
  <c r="E66" i="53"/>
  <c r="E98" i="81"/>
  <c r="F15" i="53" s="1"/>
  <c r="E68" i="53"/>
  <c r="B128" i="55"/>
  <c r="D186" i="55" s="1"/>
  <c r="D241" i="55"/>
  <c r="B31" i="55"/>
  <c r="B88" i="55" s="1"/>
  <c r="C62" i="81"/>
  <c r="D215" i="53"/>
  <c r="D148" i="53"/>
  <c r="D140" i="53"/>
  <c r="D207" i="53"/>
  <c r="D145" i="53"/>
  <c r="D212" i="53"/>
  <c r="D146" i="53"/>
  <c r="D213" i="53"/>
  <c r="C54" i="81"/>
  <c r="B23" i="55"/>
  <c r="B80" i="55" s="1"/>
  <c r="D42" i="81"/>
  <c r="C11" i="55"/>
  <c r="D44" i="81"/>
  <c r="C13" i="55"/>
  <c r="C70" i="55" s="1"/>
  <c r="D46" i="81"/>
  <c r="C15" i="55"/>
  <c r="C72" i="55" s="1"/>
  <c r="D48" i="81"/>
  <c r="C17" i="55"/>
  <c r="C74" i="55" s="1"/>
  <c r="B139" i="55"/>
  <c r="D197" i="55" s="1"/>
  <c r="D252" i="55"/>
  <c r="B30" i="72"/>
  <c r="B54" i="72" s="1"/>
  <c r="C84" i="81"/>
  <c r="D236" i="55"/>
  <c r="B123" i="55"/>
  <c r="D181" i="55" s="1"/>
  <c r="D238" i="55"/>
  <c r="B125" i="55"/>
  <c r="D183" i="55" s="1"/>
  <c r="D240" i="55"/>
  <c r="B127" i="55"/>
  <c r="D185" i="55" s="1"/>
  <c r="D141" i="53"/>
  <c r="D208" i="53"/>
  <c r="D139" i="53"/>
  <c r="D206" i="53"/>
  <c r="D143" i="53"/>
  <c r="D210" i="53"/>
  <c r="D144" i="53"/>
  <c r="D211" i="53"/>
  <c r="D75" i="81"/>
  <c r="C21" i="72"/>
  <c r="C45" i="72" s="1"/>
  <c r="D112" i="81"/>
  <c r="D29" i="53"/>
  <c r="D82" i="53" s="1"/>
  <c r="D111" i="81"/>
  <c r="D28" i="53"/>
  <c r="D81" i="53" s="1"/>
  <c r="B29" i="55"/>
  <c r="B86" i="55" s="1"/>
  <c r="C60" i="81"/>
  <c r="E198" i="53"/>
  <c r="E131" i="53"/>
  <c r="E200" i="53"/>
  <c r="E133" i="53"/>
  <c r="E202" i="53"/>
  <c r="E135" i="53"/>
  <c r="E204" i="53"/>
  <c r="E137" i="53"/>
  <c r="B21" i="55"/>
  <c r="C52" i="81"/>
  <c r="B28" i="72"/>
  <c r="B52" i="72" s="1"/>
  <c r="C82" i="81"/>
  <c r="B27" i="55"/>
  <c r="B84" i="55" s="1"/>
  <c r="C58" i="81"/>
  <c r="D104" i="81"/>
  <c r="E21" i="53" s="1"/>
  <c r="D74" i="53"/>
  <c r="D67" i="81"/>
  <c r="C13" i="72"/>
  <c r="D69" i="81"/>
  <c r="C15" i="72"/>
  <c r="C39" i="72" s="1"/>
  <c r="D71" i="81"/>
  <c r="C17" i="72"/>
  <c r="C41" i="72" s="1"/>
  <c r="D73" i="81"/>
  <c r="D19" i="72" s="1"/>
  <c r="C43" i="72"/>
  <c r="D68" i="81"/>
  <c r="D14" i="72" s="1"/>
  <c r="C38" i="72"/>
  <c r="D70" i="81"/>
  <c r="D16" i="72" s="1"/>
  <c r="C40" i="72"/>
  <c r="D72" i="81"/>
  <c r="D18" i="72" s="1"/>
  <c r="C42" i="72"/>
  <c r="D74" i="81"/>
  <c r="D20" i="72" s="1"/>
  <c r="C44" i="72"/>
  <c r="C118" i="53"/>
  <c r="C115" i="53"/>
  <c r="O57" i="22"/>
  <c r="Q51" i="22"/>
  <c r="Q53" i="22" s="1"/>
  <c r="R50" i="22" s="1"/>
  <c r="M63" i="22"/>
  <c r="M64" i="22" s="1"/>
  <c r="M39" i="22"/>
  <c r="H20" i="21" l="1"/>
  <c r="F14" i="69"/>
  <c r="H11" i="29"/>
  <c r="G97" i="22"/>
  <c r="F23" i="68"/>
  <c r="F177" i="29"/>
  <c r="F147" i="29"/>
  <c r="F132" i="29"/>
  <c r="D234" i="55"/>
  <c r="F36" i="21"/>
  <c r="G23" i="68" s="1"/>
  <c r="B78" i="55"/>
  <c r="D243" i="55" s="1"/>
  <c r="K28" i="55"/>
  <c r="L28" i="55" s="1"/>
  <c r="H96" i="29"/>
  <c r="L68" i="22"/>
  <c r="D67" i="22"/>
  <c r="C42" i="21" s="1"/>
  <c r="D45" i="29" s="1"/>
  <c r="L47" i="22"/>
  <c r="I46" i="42"/>
  <c r="I48" i="42" s="1"/>
  <c r="I96" i="29"/>
  <c r="L67" i="22"/>
  <c r="C98" i="22" s="1"/>
  <c r="H60" i="29"/>
  <c r="L66" i="22"/>
  <c r="E46" i="22"/>
  <c r="F46" i="22" s="1"/>
  <c r="G46" i="22" s="1"/>
  <c r="H46" i="22" s="1"/>
  <c r="I46" i="22" s="1"/>
  <c r="H97" i="22"/>
  <c r="G14" i="69"/>
  <c r="D47" i="22"/>
  <c r="E44" i="22" s="1"/>
  <c r="E47" i="22" s="1"/>
  <c r="F44" i="22" s="1"/>
  <c r="F47" i="22" s="1"/>
  <c r="G44" i="22" s="1"/>
  <c r="G47" i="22" s="1"/>
  <c r="H44" i="22" s="1"/>
  <c r="H47" i="22" s="1"/>
  <c r="I44" i="22" s="1"/>
  <c r="I47" i="22" s="1"/>
  <c r="E42" i="21"/>
  <c r="F60" i="29" s="1"/>
  <c r="H42" i="21"/>
  <c r="H14" i="69"/>
  <c r="I273" i="53"/>
  <c r="G32" i="21" s="1"/>
  <c r="I301" i="55"/>
  <c r="G28" i="21" s="1"/>
  <c r="D253" i="53"/>
  <c r="D42" i="21"/>
  <c r="E60" i="29" s="1"/>
  <c r="J280" i="55"/>
  <c r="J295" i="55"/>
  <c r="J296" i="55"/>
  <c r="J294" i="55"/>
  <c r="J223" i="55"/>
  <c r="J254" i="55"/>
  <c r="J279" i="55"/>
  <c r="J221" i="55"/>
  <c r="J255" i="55"/>
  <c r="J222" i="55"/>
  <c r="J199" i="55"/>
  <c r="D254" i="53"/>
  <c r="J205" i="53"/>
  <c r="J243" i="53"/>
  <c r="J219" i="53"/>
  <c r="J152" i="53"/>
  <c r="J268" i="53"/>
  <c r="J266" i="53"/>
  <c r="J214" i="53"/>
  <c r="J265" i="53"/>
  <c r="J267" i="53"/>
  <c r="H11" i="42"/>
  <c r="J41" i="42" s="1"/>
  <c r="J44" i="42" s="1"/>
  <c r="H30" i="21" s="1"/>
  <c r="K8" i="22"/>
  <c r="K17" i="22"/>
  <c r="K18" i="22"/>
  <c r="K20" i="22"/>
  <c r="K16" i="22"/>
  <c r="K12" i="22"/>
  <c r="K11" i="22"/>
  <c r="K15" i="22"/>
  <c r="K21" i="22"/>
  <c r="K22" i="22"/>
  <c r="K23" i="22"/>
  <c r="K19" i="22"/>
  <c r="K14" i="22"/>
  <c r="K9" i="22"/>
  <c r="K10" i="22"/>
  <c r="K13" i="22"/>
  <c r="J24" i="22"/>
  <c r="G35" i="21" s="1"/>
  <c r="B42" i="21"/>
  <c r="D11" i="29" s="1"/>
  <c r="B14" i="69"/>
  <c r="B15" i="69" s="1"/>
  <c r="D38" i="22"/>
  <c r="C69" i="22"/>
  <c r="D40" i="22"/>
  <c r="C68" i="22"/>
  <c r="H113" i="81"/>
  <c r="I30" i="53" s="1"/>
  <c r="I83" i="53" s="1"/>
  <c r="H30" i="53"/>
  <c r="H83" i="53" s="1"/>
  <c r="Q52" i="22"/>
  <c r="H151" i="53"/>
  <c r="H218" i="53"/>
  <c r="O58" i="22"/>
  <c r="G10" i="21"/>
  <c r="J38" i="61"/>
  <c r="G125" i="29"/>
  <c r="G155" i="29"/>
  <c r="G170" i="29"/>
  <c r="G34" i="29"/>
  <c r="G140" i="29"/>
  <c r="G156" i="29"/>
  <c r="G171" i="29"/>
  <c r="G35" i="29"/>
  <c r="G126" i="29"/>
  <c r="K39" i="48"/>
  <c r="H11" i="21" s="1"/>
  <c r="F123" i="83"/>
  <c r="F54" i="53"/>
  <c r="F107" i="53" s="1"/>
  <c r="G178" i="53"/>
  <c r="G242" i="53"/>
  <c r="E95" i="83"/>
  <c r="D34" i="84"/>
  <c r="D62" i="84" s="1"/>
  <c r="D62" i="83"/>
  <c r="C51" i="55"/>
  <c r="C108" i="55" s="1"/>
  <c r="F97" i="83"/>
  <c r="E36" i="84"/>
  <c r="E64" i="84" s="1"/>
  <c r="E231" i="53"/>
  <c r="E164" i="53"/>
  <c r="B61" i="55"/>
  <c r="F278" i="55"/>
  <c r="D168" i="55"/>
  <c r="F227" i="55" s="1"/>
  <c r="K57" i="48"/>
  <c r="K48" i="61"/>
  <c r="H21" i="21"/>
  <c r="D87" i="83"/>
  <c r="C26" i="84"/>
  <c r="C57" i="84" s="1"/>
  <c r="D61" i="83"/>
  <c r="C50" i="55"/>
  <c r="C107" i="55" s="1"/>
  <c r="G56" i="53"/>
  <c r="G109" i="53" s="1"/>
  <c r="G125" i="83"/>
  <c r="D154" i="84"/>
  <c r="D159" i="84" s="1"/>
  <c r="D168" i="84"/>
  <c r="D169" i="84"/>
  <c r="G126" i="83"/>
  <c r="G57" i="53"/>
  <c r="G110" i="53" s="1"/>
  <c r="F105" i="83"/>
  <c r="F36" i="53"/>
  <c r="F89" i="53" s="1"/>
  <c r="E80" i="83"/>
  <c r="D19" i="84"/>
  <c r="D50" i="84" s="1"/>
  <c r="E113" i="83"/>
  <c r="E44" i="53"/>
  <c r="E97" i="53" s="1"/>
  <c r="E236" i="53"/>
  <c r="E169" i="53"/>
  <c r="E264" i="55"/>
  <c r="C151" i="55"/>
  <c r="E210" i="55" s="1"/>
  <c r="C92" i="55"/>
  <c r="E276" i="55"/>
  <c r="C166" i="55"/>
  <c r="E225" i="55" s="1"/>
  <c r="E233" i="53"/>
  <c r="E166" i="53"/>
  <c r="E171" i="53"/>
  <c r="E238" i="53"/>
  <c r="F156" i="53"/>
  <c r="F223" i="53"/>
  <c r="D86" i="83"/>
  <c r="C25" i="84"/>
  <c r="C56" i="84" s="1"/>
  <c r="E265" i="55"/>
  <c r="C152" i="55"/>
  <c r="E211" i="55" s="1"/>
  <c r="E163" i="53"/>
  <c r="E230" i="53"/>
  <c r="E77" i="83"/>
  <c r="D16" i="84"/>
  <c r="D47" i="84" s="1"/>
  <c r="F154" i="53"/>
  <c r="F221" i="53"/>
  <c r="B161" i="55"/>
  <c r="D220" i="55" s="1"/>
  <c r="D274" i="55"/>
  <c r="E120" i="83"/>
  <c r="E51" i="53"/>
  <c r="E104" i="53" s="1"/>
  <c r="F172" i="53" s="1"/>
  <c r="B160" i="55"/>
  <c r="D219" i="55" s="1"/>
  <c r="D273" i="55"/>
  <c r="F124" i="83"/>
  <c r="F55" i="53"/>
  <c r="F108" i="53" s="1"/>
  <c r="F51" i="83"/>
  <c r="E40" i="55"/>
  <c r="E97" i="55" s="1"/>
  <c r="F79" i="83"/>
  <c r="E18" i="84"/>
  <c r="E49" i="84" s="1"/>
  <c r="E82" i="83"/>
  <c r="D21" i="84"/>
  <c r="D52" i="84" s="1"/>
  <c r="F160" i="53"/>
  <c r="F227" i="53"/>
  <c r="C49" i="55"/>
  <c r="C106" i="55" s="1"/>
  <c r="D60" i="83"/>
  <c r="D91" i="83"/>
  <c r="C30" i="84"/>
  <c r="C61" i="84" s="1"/>
  <c r="E237" i="53"/>
  <c r="E170" i="53"/>
  <c r="D55" i="83"/>
  <c r="C44" i="55"/>
  <c r="C101" i="55" s="1"/>
  <c r="E112" i="83"/>
  <c r="E43" i="53"/>
  <c r="E96" i="53" s="1"/>
  <c r="B53" i="84"/>
  <c r="B39" i="84"/>
  <c r="F103" i="83"/>
  <c r="F34" i="53"/>
  <c r="F87" i="53" s="1"/>
  <c r="E115" i="83"/>
  <c r="E46" i="53"/>
  <c r="E99" i="53" s="1"/>
  <c r="E75" i="83"/>
  <c r="D14" i="84"/>
  <c r="E122" i="83"/>
  <c r="E53" i="53"/>
  <c r="E106" i="53" s="1"/>
  <c r="F174" i="53" s="1"/>
  <c r="E52" i="83"/>
  <c r="D41" i="55"/>
  <c r="D98" i="55" s="1"/>
  <c r="D88" i="83"/>
  <c r="C27" i="84"/>
  <c r="C58" i="84" s="1"/>
  <c r="F108" i="83"/>
  <c r="F39" i="53"/>
  <c r="F92" i="53" s="1"/>
  <c r="G106" i="83"/>
  <c r="G37" i="53"/>
  <c r="G90" i="53" s="1"/>
  <c r="D83" i="83"/>
  <c r="C22" i="84"/>
  <c r="C53" i="84" s="1"/>
  <c r="B144" i="55"/>
  <c r="D203" i="55" s="1"/>
  <c r="D257" i="55"/>
  <c r="F70" i="83"/>
  <c r="E59" i="55"/>
  <c r="E116" i="55" s="1"/>
  <c r="D58" i="83"/>
  <c r="C47" i="55"/>
  <c r="C104" i="55" s="1"/>
  <c r="J57" i="48"/>
  <c r="J59" i="48" s="1"/>
  <c r="G21" i="21"/>
  <c r="J48" i="61"/>
  <c r="B159" i="55"/>
  <c r="D218" i="55" s="1"/>
  <c r="D272" i="55"/>
  <c r="F261" i="55"/>
  <c r="D148" i="55"/>
  <c r="F207" i="55" s="1"/>
  <c r="D84" i="83"/>
  <c r="C23" i="84"/>
  <c r="C54" i="84" s="1"/>
  <c r="F228" i="53"/>
  <c r="F161" i="53"/>
  <c r="D93" i="83"/>
  <c r="C32" i="84"/>
  <c r="E117" i="83"/>
  <c r="E48" i="53"/>
  <c r="E101" i="53" s="1"/>
  <c r="E53" i="83"/>
  <c r="D42" i="55"/>
  <c r="D99" i="55" s="1"/>
  <c r="D35" i="55"/>
  <c r="E46" i="83"/>
  <c r="D57" i="55"/>
  <c r="D114" i="55" s="1"/>
  <c r="E68" i="83"/>
  <c r="E114" i="83"/>
  <c r="E45" i="53"/>
  <c r="E98" i="53" s="1"/>
  <c r="E119" i="83"/>
  <c r="E50" i="53"/>
  <c r="E103" i="53" s="1"/>
  <c r="F104" i="83"/>
  <c r="F35" i="53"/>
  <c r="F88" i="53" s="1"/>
  <c r="D59" i="83"/>
  <c r="C48" i="55"/>
  <c r="C105" i="55" s="1"/>
  <c r="E54" i="83"/>
  <c r="D43" i="55"/>
  <c r="D100" i="55" s="1"/>
  <c r="E111" i="83"/>
  <c r="E42" i="53"/>
  <c r="E95" i="53" s="1"/>
  <c r="F102" i="83"/>
  <c r="F33" i="53"/>
  <c r="F86" i="53" s="1"/>
  <c r="C45" i="55"/>
  <c r="C102" i="55" s="1"/>
  <c r="D56" i="83"/>
  <c r="F277" i="55"/>
  <c r="D167" i="55"/>
  <c r="F226" i="55" s="1"/>
  <c r="G226" i="53"/>
  <c r="G159" i="53"/>
  <c r="E235" i="53"/>
  <c r="E168" i="53"/>
  <c r="D94" i="83"/>
  <c r="C33" i="84"/>
  <c r="B158" i="55"/>
  <c r="D217" i="55" s="1"/>
  <c r="D271" i="55"/>
  <c r="E118" i="83"/>
  <c r="E49" i="53"/>
  <c r="E102" i="53" s="1"/>
  <c r="B153" i="55"/>
  <c r="D212" i="55" s="1"/>
  <c r="D266" i="55"/>
  <c r="E96" i="83"/>
  <c r="D35" i="84"/>
  <c r="D63" i="84" s="1"/>
  <c r="D90" i="83"/>
  <c r="C29" i="84"/>
  <c r="C60" i="84" s="1"/>
  <c r="E260" i="55"/>
  <c r="C147" i="55"/>
  <c r="E206" i="55" s="1"/>
  <c r="F162" i="53"/>
  <c r="F229" i="53"/>
  <c r="B155" i="55"/>
  <c r="D214" i="55" s="1"/>
  <c r="D268" i="55"/>
  <c r="G241" i="53"/>
  <c r="G177" i="53"/>
  <c r="F224" i="53"/>
  <c r="F157" i="53"/>
  <c r="E232" i="53"/>
  <c r="E165" i="53"/>
  <c r="F98" i="83"/>
  <c r="E37" i="84"/>
  <c r="E65" i="84" s="1"/>
  <c r="E275" i="55"/>
  <c r="C165" i="55"/>
  <c r="E224" i="55" s="1"/>
  <c r="C28" i="84"/>
  <c r="C59" i="84" s="1"/>
  <c r="D89" i="83"/>
  <c r="D63" i="83"/>
  <c r="C52" i="55"/>
  <c r="C109" i="55" s="1"/>
  <c r="F240" i="53"/>
  <c r="F176" i="53"/>
  <c r="F262" i="55"/>
  <c r="D149" i="55"/>
  <c r="F208" i="55" s="1"/>
  <c r="E48" i="83"/>
  <c r="D37" i="55"/>
  <c r="D94" i="55" s="1"/>
  <c r="E47" i="83"/>
  <c r="D36" i="55"/>
  <c r="D93" i="55" s="1"/>
  <c r="D57" i="83"/>
  <c r="C46" i="55"/>
  <c r="C103" i="55" s="1"/>
  <c r="F222" i="53"/>
  <c r="F155" i="53"/>
  <c r="B156" i="55"/>
  <c r="D215" i="55" s="1"/>
  <c r="D269" i="55"/>
  <c r="F239" i="53"/>
  <c r="F175" i="53"/>
  <c r="D92" i="83"/>
  <c r="C31" i="84"/>
  <c r="E39" i="55"/>
  <c r="E96" i="55" s="1"/>
  <c r="F50" i="83"/>
  <c r="F109" i="83"/>
  <c r="F40" i="53"/>
  <c r="F93" i="53" s="1"/>
  <c r="C24" i="84"/>
  <c r="C55" i="84" s="1"/>
  <c r="D85" i="83"/>
  <c r="E81" i="83"/>
  <c r="D20" i="84"/>
  <c r="D51" i="84" s="1"/>
  <c r="E167" i="53"/>
  <c r="E234" i="53"/>
  <c r="E67" i="83"/>
  <c r="D56" i="55"/>
  <c r="D113" i="55" s="1"/>
  <c r="G11" i="21"/>
  <c r="J35" i="61"/>
  <c r="B157" i="55"/>
  <c r="D216" i="55" s="1"/>
  <c r="D270" i="55"/>
  <c r="C45" i="84"/>
  <c r="C125" i="84"/>
  <c r="C142" i="84" s="1"/>
  <c r="E155" i="84" s="1"/>
  <c r="E167" i="84"/>
  <c r="E163" i="84"/>
  <c r="C124" i="84"/>
  <c r="C141" i="84" s="1"/>
  <c r="C126" i="84"/>
  <c r="C143" i="84" s="1"/>
  <c r="E156" i="84" s="1"/>
  <c r="E164" i="84"/>
  <c r="E263" i="55"/>
  <c r="C150" i="55"/>
  <c r="E209" i="55" s="1"/>
  <c r="E121" i="83"/>
  <c r="E52" i="53"/>
  <c r="E105" i="53" s="1"/>
  <c r="F173" i="53" s="1"/>
  <c r="B154" i="55"/>
  <c r="D213" i="55" s="1"/>
  <c r="D267" i="55"/>
  <c r="E58" i="55"/>
  <c r="E115" i="55" s="1"/>
  <c r="F69" i="83"/>
  <c r="G107" i="83"/>
  <c r="G38" i="53"/>
  <c r="G91" i="53" s="1"/>
  <c r="E116" i="83"/>
  <c r="E47" i="53"/>
  <c r="E100" i="53" s="1"/>
  <c r="F78" i="83"/>
  <c r="E17" i="84"/>
  <c r="E48" i="84" s="1"/>
  <c r="G158" i="53"/>
  <c r="G225" i="53"/>
  <c r="E259" i="55"/>
  <c r="C146" i="55"/>
  <c r="E205" i="55" s="1"/>
  <c r="E258" i="55"/>
  <c r="C145" i="55"/>
  <c r="E204" i="55" s="1"/>
  <c r="E49" i="83"/>
  <c r="D38" i="55"/>
  <c r="D95" i="55" s="1"/>
  <c r="E76" i="83"/>
  <c r="D15" i="84"/>
  <c r="D46" i="84" s="1"/>
  <c r="F110" i="83"/>
  <c r="F41" i="53"/>
  <c r="F94" i="53" s="1"/>
  <c r="D245" i="53"/>
  <c r="D114" i="53"/>
  <c r="E245" i="53" s="1"/>
  <c r="D187" i="53"/>
  <c r="D250" i="53"/>
  <c r="E72" i="81"/>
  <c r="E18" i="72" s="1"/>
  <c r="D42" i="72"/>
  <c r="E70" i="81"/>
  <c r="E16" i="72" s="1"/>
  <c r="D40" i="72"/>
  <c r="E68" i="81"/>
  <c r="E14" i="72" s="1"/>
  <c r="D38" i="72"/>
  <c r="E73" i="81"/>
  <c r="E19" i="72" s="1"/>
  <c r="D43" i="72"/>
  <c r="E71" i="81"/>
  <c r="D17" i="72"/>
  <c r="D41" i="72" s="1"/>
  <c r="E69" i="81"/>
  <c r="D15" i="72"/>
  <c r="D39" i="72" s="1"/>
  <c r="E104" i="81"/>
  <c r="F21" i="53" s="1"/>
  <c r="E74" i="53"/>
  <c r="B136" i="55"/>
  <c r="D194" i="55" s="1"/>
  <c r="D249" i="55"/>
  <c r="D251" i="55"/>
  <c r="B138" i="55"/>
  <c r="D196" i="55" s="1"/>
  <c r="E111" i="81"/>
  <c r="E28" i="53"/>
  <c r="E81" i="53" s="1"/>
  <c r="E112" i="81"/>
  <c r="E29" i="53"/>
  <c r="E82" i="53" s="1"/>
  <c r="E75" i="81"/>
  <c r="D21" i="72"/>
  <c r="D45" i="72" s="1"/>
  <c r="D183" i="53"/>
  <c r="D246" i="53"/>
  <c r="E154" i="72"/>
  <c r="C78" i="72"/>
  <c r="C79" i="72"/>
  <c r="E155" i="72"/>
  <c r="C70" i="72"/>
  <c r="E142" i="72" s="1"/>
  <c r="C71" i="72"/>
  <c r="E153" i="72"/>
  <c r="C63" i="72"/>
  <c r="C64" i="72"/>
  <c r="C37" i="72"/>
  <c r="E209" i="53"/>
  <c r="E142" i="53"/>
  <c r="D58" i="81"/>
  <c r="C27" i="55"/>
  <c r="C84" i="55" s="1"/>
  <c r="D82" i="81"/>
  <c r="C28" i="72"/>
  <c r="C52" i="72" s="1"/>
  <c r="D52" i="81"/>
  <c r="C21" i="55"/>
  <c r="C78" i="55" s="1"/>
  <c r="D60" i="81"/>
  <c r="C29" i="55"/>
  <c r="C86" i="55" s="1"/>
  <c r="E216" i="53"/>
  <c r="E149" i="53"/>
  <c r="E217" i="53"/>
  <c r="E150" i="53"/>
  <c r="D84" i="81"/>
  <c r="C30" i="72"/>
  <c r="C54" i="72" s="1"/>
  <c r="E239" i="55"/>
  <c r="C126" i="55"/>
  <c r="E184" i="55" s="1"/>
  <c r="E237" i="55"/>
  <c r="C124" i="55"/>
  <c r="E182" i="55" s="1"/>
  <c r="E235" i="55"/>
  <c r="C122" i="55"/>
  <c r="E180" i="55" s="1"/>
  <c r="C68" i="55"/>
  <c r="B132" i="55"/>
  <c r="D190" i="55" s="1"/>
  <c r="D245" i="55"/>
  <c r="D62" i="81"/>
  <c r="C31" i="55"/>
  <c r="C88" i="55" s="1"/>
  <c r="F203" i="53"/>
  <c r="F136" i="53"/>
  <c r="F201" i="53"/>
  <c r="F134" i="53"/>
  <c r="F199" i="53"/>
  <c r="F132" i="53"/>
  <c r="F197" i="53"/>
  <c r="F130" i="53"/>
  <c r="D81" i="81"/>
  <c r="C27" i="72"/>
  <c r="C51" i="72" s="1"/>
  <c r="D55" i="81"/>
  <c r="C24" i="55"/>
  <c r="C81" i="55" s="1"/>
  <c r="D76" i="81"/>
  <c r="D22" i="72" s="1"/>
  <c r="C46" i="72"/>
  <c r="D78" i="81"/>
  <c r="D24" i="72" s="1"/>
  <c r="C48" i="72"/>
  <c r="D184" i="53"/>
  <c r="D247" i="53"/>
  <c r="D140" i="72"/>
  <c r="B135" i="55"/>
  <c r="D193" i="55" s="1"/>
  <c r="D248" i="55"/>
  <c r="D152" i="72"/>
  <c r="B95" i="72"/>
  <c r="D139" i="72" s="1"/>
  <c r="B96" i="72"/>
  <c r="F99" i="81"/>
  <c r="G16" i="53" s="1"/>
  <c r="F69" i="53"/>
  <c r="F97" i="81"/>
  <c r="G14" i="53" s="1"/>
  <c r="F67" i="53"/>
  <c r="F95" i="81"/>
  <c r="G12" i="53" s="1"/>
  <c r="F65" i="53"/>
  <c r="F93" i="81"/>
  <c r="G10" i="53" s="1"/>
  <c r="F63" i="53"/>
  <c r="E106" i="81"/>
  <c r="E23" i="53"/>
  <c r="E76" i="53" s="1"/>
  <c r="E105" i="81"/>
  <c r="F22" i="53" s="1"/>
  <c r="E75" i="53"/>
  <c r="E101" i="81"/>
  <c r="F18" i="53" s="1"/>
  <c r="E71" i="53"/>
  <c r="E103" i="81"/>
  <c r="F20" i="53" s="1"/>
  <c r="E73" i="53"/>
  <c r="E49" i="81"/>
  <c r="D18" i="55"/>
  <c r="D75" i="55" s="1"/>
  <c r="D16" i="55"/>
  <c r="D73" i="55" s="1"/>
  <c r="E47" i="81"/>
  <c r="E45" i="81"/>
  <c r="D14" i="55"/>
  <c r="D71" i="55" s="1"/>
  <c r="D12" i="55"/>
  <c r="D69" i="55" s="1"/>
  <c r="E43" i="81"/>
  <c r="B137" i="55"/>
  <c r="D195" i="55" s="1"/>
  <c r="D250" i="55"/>
  <c r="E61" i="81"/>
  <c r="D30" i="55"/>
  <c r="D87" i="55" s="1"/>
  <c r="E108" i="81"/>
  <c r="E25" i="53"/>
  <c r="E78" i="53" s="1"/>
  <c r="E107" i="81"/>
  <c r="E24" i="53"/>
  <c r="E77" i="53" s="1"/>
  <c r="E102" i="81"/>
  <c r="F19" i="53" s="1"/>
  <c r="E72" i="53"/>
  <c r="E110" i="81"/>
  <c r="E27" i="53"/>
  <c r="E80" i="53" s="1"/>
  <c r="E50" i="81"/>
  <c r="D19" i="55"/>
  <c r="D76" i="55" s="1"/>
  <c r="D56" i="81"/>
  <c r="C25" i="55"/>
  <c r="C82" i="55" s="1"/>
  <c r="D80" i="81"/>
  <c r="D26" i="72" s="1"/>
  <c r="C50" i="72"/>
  <c r="D51" i="81"/>
  <c r="C20" i="55"/>
  <c r="C77" i="55" s="1"/>
  <c r="D53" i="81"/>
  <c r="C22" i="55"/>
  <c r="C79" i="55" s="1"/>
  <c r="B32" i="72"/>
  <c r="B33" i="55"/>
  <c r="B10" i="55" s="1"/>
  <c r="D283" i="55" s="1"/>
  <c r="D119" i="53"/>
  <c r="D116" i="53"/>
  <c r="E74" i="81"/>
  <c r="E20" i="72" s="1"/>
  <c r="D44" i="72"/>
  <c r="E67" i="81"/>
  <c r="D13" i="72"/>
  <c r="E48" i="81"/>
  <c r="D17" i="55"/>
  <c r="D74" i="55" s="1"/>
  <c r="E46" i="81"/>
  <c r="D15" i="55"/>
  <c r="D72" i="55" s="1"/>
  <c r="E44" i="81"/>
  <c r="D13" i="55"/>
  <c r="D70" i="55" s="1"/>
  <c r="E42" i="81"/>
  <c r="D11" i="55"/>
  <c r="D54" i="81"/>
  <c r="C23" i="55"/>
  <c r="C80" i="55" s="1"/>
  <c r="D253" i="55"/>
  <c r="B140" i="55"/>
  <c r="D198" i="55" s="1"/>
  <c r="F98" i="81"/>
  <c r="G15" i="53" s="1"/>
  <c r="F68" i="53"/>
  <c r="F96" i="81"/>
  <c r="G13" i="53" s="1"/>
  <c r="F66" i="53"/>
  <c r="F94" i="81"/>
  <c r="G11" i="53" s="1"/>
  <c r="F64" i="53"/>
  <c r="F92" i="81"/>
  <c r="G9" i="53" s="1"/>
  <c r="F62" i="53"/>
  <c r="B133" i="55"/>
  <c r="D191" i="55" s="1"/>
  <c r="D246" i="55"/>
  <c r="D188" i="53"/>
  <c r="D251" i="53"/>
  <c r="D141" i="72"/>
  <c r="D83" i="81"/>
  <c r="C29" i="72"/>
  <c r="C53" i="72" s="1"/>
  <c r="D57" i="81"/>
  <c r="C26" i="55"/>
  <c r="C83" i="55" s="1"/>
  <c r="D77" i="81"/>
  <c r="D23" i="72" s="1"/>
  <c r="C47" i="72"/>
  <c r="F204" i="53"/>
  <c r="F137" i="53"/>
  <c r="F202" i="53"/>
  <c r="F135" i="53"/>
  <c r="F200" i="53"/>
  <c r="F133" i="53"/>
  <c r="F198" i="53"/>
  <c r="F131" i="53"/>
  <c r="D85" i="81"/>
  <c r="C31" i="72"/>
  <c r="C55" i="72" s="1"/>
  <c r="E211" i="53"/>
  <c r="E144" i="53"/>
  <c r="E210" i="53"/>
  <c r="E143" i="53"/>
  <c r="E206" i="53"/>
  <c r="E139" i="53"/>
  <c r="E208" i="53"/>
  <c r="E141" i="53"/>
  <c r="C127" i="55"/>
  <c r="E185" i="55" s="1"/>
  <c r="E240" i="55"/>
  <c r="C125" i="55"/>
  <c r="E183" i="55" s="1"/>
  <c r="E238" i="55"/>
  <c r="C123" i="55"/>
  <c r="E181" i="55" s="1"/>
  <c r="E236" i="55"/>
  <c r="C121" i="55"/>
  <c r="E179" i="55" s="1"/>
  <c r="E234" i="55"/>
  <c r="D59" i="81"/>
  <c r="C28" i="55"/>
  <c r="C85" i="55" s="1"/>
  <c r="C139" i="55"/>
  <c r="E197" i="55" s="1"/>
  <c r="E252" i="55"/>
  <c r="D178" i="55"/>
  <c r="D233" i="55"/>
  <c r="D79" i="81"/>
  <c r="C25" i="72"/>
  <c r="C49" i="72" s="1"/>
  <c r="E213" i="53"/>
  <c r="E146" i="53"/>
  <c r="E212" i="53"/>
  <c r="E145" i="53"/>
  <c r="E207" i="53"/>
  <c r="E140" i="53"/>
  <c r="E215" i="53"/>
  <c r="E148" i="53"/>
  <c r="E241" i="55"/>
  <c r="C128" i="55"/>
  <c r="E186" i="55" s="1"/>
  <c r="B134" i="55"/>
  <c r="D192" i="55" s="1"/>
  <c r="D247" i="55"/>
  <c r="D242" i="55"/>
  <c r="B129" i="55"/>
  <c r="D187" i="55" s="1"/>
  <c r="D244" i="55"/>
  <c r="B131" i="55"/>
  <c r="D189" i="55" s="1"/>
  <c r="D118" i="53"/>
  <c r="D115" i="53"/>
  <c r="O59" i="22"/>
  <c r="P56" i="22" s="1"/>
  <c r="R51" i="22"/>
  <c r="R53" i="22" s="1"/>
  <c r="M65" i="22"/>
  <c r="N62" i="22" s="1"/>
  <c r="M41" i="22"/>
  <c r="M40" i="22"/>
  <c r="G147" i="29" l="1"/>
  <c r="G177" i="29"/>
  <c r="G132" i="29"/>
  <c r="G162" i="29"/>
  <c r="G45" i="29"/>
  <c r="G36" i="21"/>
  <c r="H23" i="68" s="1"/>
  <c r="B12" i="72"/>
  <c r="B35" i="72"/>
  <c r="B130" i="55"/>
  <c r="D188" i="55" s="1"/>
  <c r="D60" i="29"/>
  <c r="E96" i="29"/>
  <c r="E11" i="29"/>
  <c r="C14" i="69"/>
  <c r="D97" i="22"/>
  <c r="M44" i="22"/>
  <c r="L69" i="22"/>
  <c r="J11" i="29"/>
  <c r="F45" i="29"/>
  <c r="G11" i="29"/>
  <c r="G96" i="29"/>
  <c r="F97" i="22"/>
  <c r="I60" i="29"/>
  <c r="I97" i="22"/>
  <c r="J96" i="29"/>
  <c r="J273" i="53"/>
  <c r="H32" i="21" s="1"/>
  <c r="E253" i="53"/>
  <c r="E45" i="29"/>
  <c r="F11" i="29"/>
  <c r="F96" i="29"/>
  <c r="E97" i="22"/>
  <c r="E254" i="53"/>
  <c r="J46" i="42"/>
  <c r="J301" i="55"/>
  <c r="H28" i="21" s="1"/>
  <c r="J22" i="42"/>
  <c r="J24" i="42" s="1"/>
  <c r="K35" i="61"/>
  <c r="K24" i="22"/>
  <c r="H35" i="21" s="1"/>
  <c r="E40" i="22"/>
  <c r="D68" i="22"/>
  <c r="D66" i="22"/>
  <c r="C13" i="69" s="1"/>
  <c r="D41" i="22"/>
  <c r="C97" i="22"/>
  <c r="C45" i="29"/>
  <c r="C60" i="29"/>
  <c r="D96" i="29"/>
  <c r="I218" i="53"/>
  <c r="I151" i="53"/>
  <c r="J151" i="53"/>
  <c r="J218" i="53"/>
  <c r="C61" i="55"/>
  <c r="H125" i="29"/>
  <c r="H170" i="29"/>
  <c r="H140" i="29"/>
  <c r="H34" i="29"/>
  <c r="H155" i="29"/>
  <c r="K59" i="48"/>
  <c r="D161" i="72"/>
  <c r="G104" i="83"/>
  <c r="G35" i="53"/>
  <c r="G88" i="53" s="1"/>
  <c r="F117" i="83"/>
  <c r="F48" i="53"/>
  <c r="F101" i="53" s="1"/>
  <c r="G227" i="53"/>
  <c r="G160" i="53"/>
  <c r="G222" i="53"/>
  <c r="G155" i="53"/>
  <c r="E61" i="83"/>
  <c r="D50" i="55"/>
  <c r="D107" i="55" s="1"/>
  <c r="G97" i="83"/>
  <c r="F36" i="84"/>
  <c r="F64" i="84" s="1"/>
  <c r="F95" i="83"/>
  <c r="E34" i="84"/>
  <c r="E62" i="84" s="1"/>
  <c r="G239" i="53"/>
  <c r="G175" i="53"/>
  <c r="G162" i="53"/>
  <c r="G229" i="53"/>
  <c r="F260" i="55"/>
  <c r="D147" i="55"/>
  <c r="F206" i="55" s="1"/>
  <c r="H226" i="53"/>
  <c r="H159" i="53"/>
  <c r="E168" i="84"/>
  <c r="E169" i="84"/>
  <c r="E154" i="84"/>
  <c r="E159" i="84" s="1"/>
  <c r="E85" i="83"/>
  <c r="D24" i="84"/>
  <c r="D55" i="84" s="1"/>
  <c r="G50" i="83"/>
  <c r="F39" i="55"/>
  <c r="F96" i="55" s="1"/>
  <c r="F258" i="55"/>
  <c r="D145" i="55"/>
  <c r="F204" i="55" s="1"/>
  <c r="E274" i="55"/>
  <c r="C161" i="55"/>
  <c r="E220" i="55" s="1"/>
  <c r="F170" i="53"/>
  <c r="F237" i="53"/>
  <c r="E56" i="83"/>
  <c r="D45" i="55"/>
  <c r="D102" i="55" s="1"/>
  <c r="F230" i="53"/>
  <c r="F163" i="53"/>
  <c r="E270" i="55"/>
  <c r="C157" i="55"/>
  <c r="E216" i="55" s="1"/>
  <c r="F238" i="53"/>
  <c r="F171" i="53"/>
  <c r="F68" i="83"/>
  <c r="E57" i="55"/>
  <c r="E114" i="55" s="1"/>
  <c r="F264" i="55"/>
  <c r="D151" i="55"/>
  <c r="F210" i="55" s="1"/>
  <c r="G70" i="83"/>
  <c r="F59" i="55"/>
  <c r="F116" i="55" s="1"/>
  <c r="E83" i="83"/>
  <c r="D22" i="84"/>
  <c r="D53" i="84" s="1"/>
  <c r="G108" i="83"/>
  <c r="G39" i="53"/>
  <c r="G92" i="53" s="1"/>
  <c r="F52" i="83"/>
  <c r="E41" i="55"/>
  <c r="E98" i="55" s="1"/>
  <c r="F75" i="83"/>
  <c r="E14" i="84"/>
  <c r="G103" i="83"/>
  <c r="G34" i="53"/>
  <c r="G87" i="53" s="1"/>
  <c r="F112" i="83"/>
  <c r="F43" i="53"/>
  <c r="F96" i="53" s="1"/>
  <c r="E271" i="55"/>
  <c r="C158" i="55"/>
  <c r="E217" i="55" s="1"/>
  <c r="F82" i="83"/>
  <c r="E21" i="84"/>
  <c r="E52" i="84" s="1"/>
  <c r="G51" i="83"/>
  <c r="F40" i="55"/>
  <c r="F97" i="55" s="1"/>
  <c r="F77" i="83"/>
  <c r="E16" i="84"/>
  <c r="E47" i="84" s="1"/>
  <c r="E257" i="55"/>
  <c r="C144" i="55"/>
  <c r="E203" i="55" s="1"/>
  <c r="F80" i="83"/>
  <c r="E19" i="84"/>
  <c r="E50" i="84" s="1"/>
  <c r="H126" i="83"/>
  <c r="I57" i="53" s="1"/>
  <c r="I110" i="53" s="1"/>
  <c r="H57" i="53"/>
  <c r="H110" i="53" s="1"/>
  <c r="H125" i="83"/>
  <c r="I56" i="53" s="1"/>
  <c r="I109" i="53" s="1"/>
  <c r="H56" i="53"/>
  <c r="H109" i="53" s="1"/>
  <c r="E273" i="55"/>
  <c r="C160" i="55"/>
  <c r="E219" i="55" s="1"/>
  <c r="G123" i="83"/>
  <c r="G54" i="53"/>
  <c r="G107" i="53" s="1"/>
  <c r="G277" i="55"/>
  <c r="E167" i="55"/>
  <c r="G226" i="55" s="1"/>
  <c r="F121" i="83"/>
  <c r="F52" i="53"/>
  <c r="F105" i="53" s="1"/>
  <c r="G173" i="53" s="1"/>
  <c r="F81" i="83"/>
  <c r="E20" i="84"/>
  <c r="E51" i="84" s="1"/>
  <c r="D46" i="55"/>
  <c r="D103" i="55" s="1"/>
  <c r="E57" i="83"/>
  <c r="F54" i="83"/>
  <c r="E43" i="55"/>
  <c r="E100" i="55" s="1"/>
  <c r="D92" i="55"/>
  <c r="D45" i="84"/>
  <c r="F164" i="53"/>
  <c r="F231" i="53"/>
  <c r="G262" i="55"/>
  <c r="E149" i="55"/>
  <c r="G208" i="55" s="1"/>
  <c r="E39" i="61"/>
  <c r="B13" i="21"/>
  <c r="G110" i="83"/>
  <c r="G41" i="53"/>
  <c r="G94" i="53" s="1"/>
  <c r="F49" i="83"/>
  <c r="E38" i="55"/>
  <c r="E95" i="55" s="1"/>
  <c r="G78" i="83"/>
  <c r="F17" i="84"/>
  <c r="F48" i="84" s="1"/>
  <c r="H107" i="83"/>
  <c r="I38" i="53" s="1"/>
  <c r="I91" i="53" s="1"/>
  <c r="H38" i="53"/>
  <c r="H91" i="53" s="1"/>
  <c r="C39" i="84"/>
  <c r="H126" i="29"/>
  <c r="H35" i="29"/>
  <c r="H141" i="29"/>
  <c r="H156" i="29"/>
  <c r="H171" i="29"/>
  <c r="G261" i="55"/>
  <c r="E148" i="55"/>
  <c r="G207" i="55" s="1"/>
  <c r="F47" i="83"/>
  <c r="E36" i="55"/>
  <c r="E93" i="55" s="1"/>
  <c r="E63" i="83"/>
  <c r="D52" i="55"/>
  <c r="D109" i="55" s="1"/>
  <c r="F96" i="83"/>
  <c r="E35" i="84"/>
  <c r="E63" i="84" s="1"/>
  <c r="F118" i="83"/>
  <c r="F49" i="53"/>
  <c r="F102" i="53" s="1"/>
  <c r="D33" i="84"/>
  <c r="E94" i="83"/>
  <c r="E267" i="55"/>
  <c r="C154" i="55"/>
  <c r="E213" i="55" s="1"/>
  <c r="F111" i="83"/>
  <c r="F42" i="53"/>
  <c r="F95" i="53" s="1"/>
  <c r="D48" i="55"/>
  <c r="D105" i="55" s="1"/>
  <c r="E59" i="83"/>
  <c r="F119" i="83"/>
  <c r="F50" i="53"/>
  <c r="F103" i="53" s="1"/>
  <c r="D166" i="55"/>
  <c r="F225" i="55" s="1"/>
  <c r="F276" i="55"/>
  <c r="F53" i="83"/>
  <c r="E42" i="55"/>
  <c r="E99" i="55" s="1"/>
  <c r="E93" i="83"/>
  <c r="D32" i="84"/>
  <c r="E84" i="83"/>
  <c r="D23" i="84"/>
  <c r="D54" i="84" s="1"/>
  <c r="E269" i="55"/>
  <c r="C156" i="55"/>
  <c r="E215" i="55" s="1"/>
  <c r="H225" i="53"/>
  <c r="H158" i="53"/>
  <c r="F234" i="53"/>
  <c r="F167" i="53"/>
  <c r="B12" i="84"/>
  <c r="B42" i="84"/>
  <c r="E266" i="55"/>
  <c r="C153" i="55"/>
  <c r="E212" i="55" s="1"/>
  <c r="G176" i="53"/>
  <c r="G240" i="53"/>
  <c r="F232" i="53"/>
  <c r="F165" i="53"/>
  <c r="G224" i="53"/>
  <c r="G157" i="53"/>
  <c r="H241" i="53"/>
  <c r="H177" i="53"/>
  <c r="E87" i="83"/>
  <c r="D26" i="84"/>
  <c r="D57" i="84" s="1"/>
  <c r="E62" i="83"/>
  <c r="D51" i="55"/>
  <c r="D108" i="55" s="1"/>
  <c r="F76" i="83"/>
  <c r="E15" i="84"/>
  <c r="E46" i="84" s="1"/>
  <c r="F116" i="83"/>
  <c r="F47" i="53"/>
  <c r="F100" i="53" s="1"/>
  <c r="E56" i="55"/>
  <c r="E113" i="55" s="1"/>
  <c r="F67" i="83"/>
  <c r="G109" i="83"/>
  <c r="G40" i="53"/>
  <c r="G93" i="53" s="1"/>
  <c r="E92" i="83"/>
  <c r="D31" i="84"/>
  <c r="F48" i="83"/>
  <c r="E37" i="55"/>
  <c r="E94" i="55" s="1"/>
  <c r="G98" i="83"/>
  <c r="F37" i="84"/>
  <c r="F65" i="84" s="1"/>
  <c r="D29" i="84"/>
  <c r="D60" i="84" s="1"/>
  <c r="E90" i="83"/>
  <c r="G102" i="83"/>
  <c r="G33" i="53"/>
  <c r="G86" i="53" s="1"/>
  <c r="F114" i="83"/>
  <c r="F45" i="53"/>
  <c r="F98" i="53" s="1"/>
  <c r="G278" i="55"/>
  <c r="E168" i="55"/>
  <c r="G227" i="55" s="1"/>
  <c r="F263" i="55"/>
  <c r="D150" i="55"/>
  <c r="F209" i="55" s="1"/>
  <c r="E60" i="83"/>
  <c r="D49" i="55"/>
  <c r="D106" i="55" s="1"/>
  <c r="H242" i="53"/>
  <c r="H178" i="53"/>
  <c r="D160" i="72"/>
  <c r="F168" i="53"/>
  <c r="F235" i="53"/>
  <c r="G69" i="83"/>
  <c r="F58" i="55"/>
  <c r="F115" i="55" s="1"/>
  <c r="F275" i="55"/>
  <c r="D165" i="55"/>
  <c r="F224" i="55" s="1"/>
  <c r="G228" i="53"/>
  <c r="G161" i="53"/>
  <c r="E268" i="55"/>
  <c r="C155" i="55"/>
  <c r="E214" i="55" s="1"/>
  <c r="F259" i="55"/>
  <c r="D146" i="55"/>
  <c r="F205" i="55" s="1"/>
  <c r="E89" i="83"/>
  <c r="D28" i="84"/>
  <c r="D59" i="84" s="1"/>
  <c r="I126" i="29"/>
  <c r="I171" i="29"/>
  <c r="I35" i="29"/>
  <c r="I141" i="29"/>
  <c r="I156" i="29"/>
  <c r="G154" i="53"/>
  <c r="G221" i="53"/>
  <c r="F265" i="55"/>
  <c r="D152" i="55"/>
  <c r="F211" i="55" s="1"/>
  <c r="G223" i="53"/>
  <c r="G156" i="53"/>
  <c r="F166" i="53"/>
  <c r="F233" i="53"/>
  <c r="F46" i="83"/>
  <c r="E35" i="55"/>
  <c r="F236" i="53"/>
  <c r="F169" i="53"/>
  <c r="E58" i="83"/>
  <c r="D47" i="55"/>
  <c r="D104" i="55" s="1"/>
  <c r="H106" i="83"/>
  <c r="I37" i="53" s="1"/>
  <c r="I90" i="53" s="1"/>
  <c r="H37" i="53"/>
  <c r="H90" i="53" s="1"/>
  <c r="E88" i="83"/>
  <c r="D27" i="84"/>
  <c r="D58" i="84" s="1"/>
  <c r="F122" i="83"/>
  <c r="F53" i="53"/>
  <c r="F106" i="53" s="1"/>
  <c r="G174" i="53" s="1"/>
  <c r="F46" i="53"/>
  <c r="F99" i="53" s="1"/>
  <c r="F115" i="83"/>
  <c r="E55" i="83"/>
  <c r="D44" i="55"/>
  <c r="D101" i="55" s="1"/>
  <c r="E91" i="83"/>
  <c r="D30" i="84"/>
  <c r="D61" i="84" s="1"/>
  <c r="G79" i="83"/>
  <c r="F18" i="84"/>
  <c r="F49" i="84" s="1"/>
  <c r="G124" i="83"/>
  <c r="G55" i="53"/>
  <c r="G108" i="53" s="1"/>
  <c r="F120" i="83"/>
  <c r="F51" i="53"/>
  <c r="F104" i="53" s="1"/>
  <c r="G172" i="53" s="1"/>
  <c r="D25" i="84"/>
  <c r="D56" i="84" s="1"/>
  <c r="E86" i="83"/>
  <c r="F113" i="83"/>
  <c r="F44" i="53"/>
  <c r="F97" i="53" s="1"/>
  <c r="G105" i="83"/>
  <c r="G36" i="53"/>
  <c r="G89" i="53" s="1"/>
  <c r="E272" i="55"/>
  <c r="C159" i="55"/>
  <c r="E218" i="55" s="1"/>
  <c r="F163" i="84"/>
  <c r="F167" i="84"/>
  <c r="F164" i="84"/>
  <c r="D124" i="84"/>
  <c r="D141" i="84" s="1"/>
  <c r="D126" i="84"/>
  <c r="D143" i="84" s="1"/>
  <c r="F156" i="84" s="1"/>
  <c r="D125" i="84"/>
  <c r="D142" i="84" s="1"/>
  <c r="F155" i="84" s="1"/>
  <c r="R52" i="22"/>
  <c r="E182" i="53"/>
  <c r="E15" i="61"/>
  <c r="F6" i="61" s="1"/>
  <c r="D191" i="53"/>
  <c r="B12" i="21" s="1"/>
  <c r="E250" i="53"/>
  <c r="E187" i="53"/>
  <c r="E79" i="81"/>
  <c r="D25" i="72"/>
  <c r="D49" i="72" s="1"/>
  <c r="E59" i="81"/>
  <c r="D28" i="55"/>
  <c r="D85" i="55" s="1"/>
  <c r="E246" i="53"/>
  <c r="E183" i="53"/>
  <c r="C137" i="55"/>
  <c r="E195" i="55" s="1"/>
  <c r="E250" i="55"/>
  <c r="E152" i="72"/>
  <c r="C95" i="72"/>
  <c r="E139" i="72" s="1"/>
  <c r="C96" i="72"/>
  <c r="C135" i="55"/>
  <c r="E193" i="55" s="1"/>
  <c r="E248" i="55"/>
  <c r="G92" i="81"/>
  <c r="H9" i="53" s="1"/>
  <c r="G62" i="53"/>
  <c r="G94" i="81"/>
  <c r="H11" i="53" s="1"/>
  <c r="G64" i="53"/>
  <c r="G96" i="81"/>
  <c r="H13" i="53" s="1"/>
  <c r="G66" i="53"/>
  <c r="G98" i="81"/>
  <c r="H15" i="53" s="1"/>
  <c r="G68" i="53"/>
  <c r="E54" i="81"/>
  <c r="D23" i="55"/>
  <c r="D80" i="55" s="1"/>
  <c r="F42" i="81"/>
  <c r="E11" i="55"/>
  <c r="F44" i="81"/>
  <c r="E13" i="55"/>
  <c r="E70" i="55" s="1"/>
  <c r="F46" i="81"/>
  <c r="E15" i="55"/>
  <c r="E72" i="55" s="1"/>
  <c r="F48" i="81"/>
  <c r="E17" i="55"/>
  <c r="E74" i="55" s="1"/>
  <c r="F67" i="81"/>
  <c r="E13" i="72"/>
  <c r="F74" i="81"/>
  <c r="F20" i="72" s="1"/>
  <c r="E44" i="72"/>
  <c r="E247" i="53"/>
  <c r="E184" i="53"/>
  <c r="B65" i="55"/>
  <c r="D200" i="55" s="1"/>
  <c r="C131" i="55"/>
  <c r="E189" i="55" s="1"/>
  <c r="E244" i="55"/>
  <c r="C129" i="55"/>
  <c r="E187" i="55" s="1"/>
  <c r="E242" i="55"/>
  <c r="E247" i="55"/>
  <c r="C134" i="55"/>
  <c r="E192" i="55" s="1"/>
  <c r="D128" i="55"/>
  <c r="F186" i="55" s="1"/>
  <c r="F241" i="55"/>
  <c r="F215" i="53"/>
  <c r="F148" i="53"/>
  <c r="F207" i="53"/>
  <c r="F140" i="53"/>
  <c r="F212" i="53"/>
  <c r="F145" i="53"/>
  <c r="F213" i="53"/>
  <c r="F146" i="53"/>
  <c r="F252" i="55"/>
  <c r="D139" i="55"/>
  <c r="F197" i="55" s="1"/>
  <c r="F43" i="81"/>
  <c r="E12" i="55"/>
  <c r="E69" i="55" s="1"/>
  <c r="F236" i="55"/>
  <c r="D123" i="55"/>
  <c r="F181" i="55" s="1"/>
  <c r="F47" i="81"/>
  <c r="E16" i="55"/>
  <c r="E73" i="55" s="1"/>
  <c r="F240" i="55"/>
  <c r="D127" i="55"/>
  <c r="F185" i="55" s="1"/>
  <c r="F208" i="53"/>
  <c r="F141" i="53"/>
  <c r="F206" i="53"/>
  <c r="F139" i="53"/>
  <c r="F210" i="53"/>
  <c r="F143" i="53"/>
  <c r="F211" i="53"/>
  <c r="F144" i="53"/>
  <c r="G198" i="53"/>
  <c r="G131" i="53"/>
  <c r="G200" i="53"/>
  <c r="G133" i="53"/>
  <c r="G202" i="53"/>
  <c r="G135" i="53"/>
  <c r="G204" i="53"/>
  <c r="G137" i="53"/>
  <c r="E78" i="81"/>
  <c r="E24" i="72" s="1"/>
  <c r="D48" i="72"/>
  <c r="E76" i="81"/>
  <c r="E22" i="72" s="1"/>
  <c r="D46" i="72"/>
  <c r="E55" i="81"/>
  <c r="D24" i="55"/>
  <c r="D81" i="55" s="1"/>
  <c r="E81" i="81"/>
  <c r="D27" i="72"/>
  <c r="D51" i="72" s="1"/>
  <c r="E253" i="55"/>
  <c r="C140" i="55"/>
  <c r="E198" i="55" s="1"/>
  <c r="E251" i="55"/>
  <c r="C138" i="55"/>
  <c r="E196" i="55" s="1"/>
  <c r="E243" i="55"/>
  <c r="C130" i="55"/>
  <c r="E249" i="55"/>
  <c r="C136" i="55"/>
  <c r="E194" i="55" s="1"/>
  <c r="E21" i="72"/>
  <c r="E45" i="72" s="1"/>
  <c r="F75" i="81"/>
  <c r="F112" i="81"/>
  <c r="F29" i="53"/>
  <c r="F82" i="53" s="1"/>
  <c r="F111" i="81"/>
  <c r="F28" i="53"/>
  <c r="F81" i="53" s="1"/>
  <c r="F104" i="81"/>
  <c r="G21" i="53" s="1"/>
  <c r="F74" i="53"/>
  <c r="E15" i="72"/>
  <c r="E39" i="72" s="1"/>
  <c r="F69" i="81"/>
  <c r="F71" i="81"/>
  <c r="E17" i="72"/>
  <c r="E41" i="72" s="1"/>
  <c r="E43" i="72"/>
  <c r="F73" i="81"/>
  <c r="F19" i="72" s="1"/>
  <c r="E38" i="72"/>
  <c r="F68" i="81"/>
  <c r="F14" i="72" s="1"/>
  <c r="E40" i="72"/>
  <c r="F70" i="81"/>
  <c r="F16" i="72" s="1"/>
  <c r="F72" i="81"/>
  <c r="F18" i="72" s="1"/>
  <c r="E42" i="72"/>
  <c r="D144" i="72"/>
  <c r="E118" i="53"/>
  <c r="E115" i="53"/>
  <c r="C33" i="55"/>
  <c r="C10" i="55" s="1"/>
  <c r="D284" i="55"/>
  <c r="E85" i="81"/>
  <c r="D31" i="72"/>
  <c r="D55" i="72" s="1"/>
  <c r="D47" i="72"/>
  <c r="E77" i="81"/>
  <c r="E23" i="72" s="1"/>
  <c r="E57" i="81"/>
  <c r="D26" i="55"/>
  <c r="D83" i="55" s="1"/>
  <c r="E83" i="81"/>
  <c r="D29" i="72"/>
  <c r="D53" i="72" s="1"/>
  <c r="G197" i="53"/>
  <c r="G130" i="53"/>
  <c r="G199" i="53"/>
  <c r="G132" i="53"/>
  <c r="G201" i="53"/>
  <c r="G134" i="53"/>
  <c r="G203" i="53"/>
  <c r="G136" i="53"/>
  <c r="E245" i="55"/>
  <c r="C132" i="55"/>
  <c r="E190" i="55" s="1"/>
  <c r="D68" i="55"/>
  <c r="D122" i="55"/>
  <c r="F180" i="55" s="1"/>
  <c r="F235" i="55"/>
  <c r="D124" i="55"/>
  <c r="F182" i="55" s="1"/>
  <c r="F237" i="55"/>
  <c r="D126" i="55"/>
  <c r="F184" i="55" s="1"/>
  <c r="F239" i="55"/>
  <c r="D37" i="72"/>
  <c r="E251" i="53"/>
  <c r="E188" i="53"/>
  <c r="D156" i="72"/>
  <c r="E53" i="81"/>
  <c r="D22" i="55"/>
  <c r="D79" i="55" s="1"/>
  <c r="D20" i="55"/>
  <c r="D77" i="55" s="1"/>
  <c r="E51" i="81"/>
  <c r="E80" i="81"/>
  <c r="E26" i="72" s="1"/>
  <c r="D50" i="72"/>
  <c r="E56" i="81"/>
  <c r="D25" i="55"/>
  <c r="D82" i="55" s="1"/>
  <c r="F50" i="81"/>
  <c r="E19" i="55"/>
  <c r="E76" i="55" s="1"/>
  <c r="F110" i="81"/>
  <c r="F27" i="53"/>
  <c r="F80" i="53" s="1"/>
  <c r="F102" i="81"/>
  <c r="G19" i="53" s="1"/>
  <c r="F72" i="53"/>
  <c r="F107" i="81"/>
  <c r="F24" i="53"/>
  <c r="F77" i="53" s="1"/>
  <c r="F108" i="81"/>
  <c r="F25" i="53"/>
  <c r="F78" i="53" s="1"/>
  <c r="E30" i="55"/>
  <c r="E87" i="55" s="1"/>
  <c r="F61" i="81"/>
  <c r="F234" i="55"/>
  <c r="D121" i="55"/>
  <c r="F179" i="55" s="1"/>
  <c r="F45" i="81"/>
  <c r="E14" i="55"/>
  <c r="E71" i="55" s="1"/>
  <c r="F238" i="55"/>
  <c r="D125" i="55"/>
  <c r="F183" i="55" s="1"/>
  <c r="F49" i="81"/>
  <c r="E18" i="55"/>
  <c r="E75" i="55" s="1"/>
  <c r="F103" i="81"/>
  <c r="G20" i="53" s="1"/>
  <c r="F73" i="53"/>
  <c r="F101" i="81"/>
  <c r="G18" i="53" s="1"/>
  <c r="F71" i="53"/>
  <c r="F105" i="81"/>
  <c r="G22" i="53" s="1"/>
  <c r="F75" i="53"/>
  <c r="F106" i="81"/>
  <c r="F23" i="53"/>
  <c r="F76" i="53" s="1"/>
  <c r="G93" i="81"/>
  <c r="H10" i="53" s="1"/>
  <c r="G63" i="53"/>
  <c r="G95" i="81"/>
  <c r="H12" i="53" s="1"/>
  <c r="G65" i="53"/>
  <c r="G97" i="81"/>
  <c r="H14" i="53" s="1"/>
  <c r="G67" i="53"/>
  <c r="G99" i="81"/>
  <c r="H16" i="53" s="1"/>
  <c r="G69" i="53"/>
  <c r="C133" i="55"/>
  <c r="E191" i="55" s="1"/>
  <c r="E246" i="55"/>
  <c r="E62" i="81"/>
  <c r="D31" i="55"/>
  <c r="D88" i="55" s="1"/>
  <c r="E233" i="55"/>
  <c r="C120" i="55"/>
  <c r="E84" i="81"/>
  <c r="D30" i="72"/>
  <c r="D54" i="72" s="1"/>
  <c r="E60" i="81"/>
  <c r="D29" i="55"/>
  <c r="D86" i="55" s="1"/>
  <c r="E52" i="81"/>
  <c r="D21" i="55"/>
  <c r="D78" i="55" s="1"/>
  <c r="E82" i="81"/>
  <c r="D28" i="72"/>
  <c r="D52" i="72" s="1"/>
  <c r="E58" i="81"/>
  <c r="D27" i="55"/>
  <c r="D84" i="55" s="1"/>
  <c r="E140" i="72"/>
  <c r="E141" i="72"/>
  <c r="F217" i="53"/>
  <c r="F150" i="53"/>
  <c r="F216" i="53"/>
  <c r="F149" i="53"/>
  <c r="F209" i="53"/>
  <c r="F142" i="53"/>
  <c r="F153" i="72"/>
  <c r="D63" i="72"/>
  <c r="D64" i="72"/>
  <c r="F155" i="72"/>
  <c r="D70" i="72"/>
  <c r="F142" i="72" s="1"/>
  <c r="D71" i="72"/>
  <c r="F154" i="72"/>
  <c r="D78" i="72"/>
  <c r="D79" i="72"/>
  <c r="E119" i="53"/>
  <c r="E116" i="53"/>
  <c r="E114" i="53"/>
  <c r="C32" i="72"/>
  <c r="C12" i="72" s="1"/>
  <c r="P57" i="22"/>
  <c r="P58" i="22" s="1"/>
  <c r="N63" i="22"/>
  <c r="N64" i="22" s="1"/>
  <c r="N38" i="22"/>
  <c r="H45" i="29" l="1"/>
  <c r="H132" i="29"/>
  <c r="H162" i="29"/>
  <c r="H147" i="29"/>
  <c r="H177" i="29"/>
  <c r="D285" i="55"/>
  <c r="E188" i="55"/>
  <c r="D229" i="55"/>
  <c r="E36" i="61" s="1"/>
  <c r="F253" i="53"/>
  <c r="C15" i="69"/>
  <c r="M66" i="22"/>
  <c r="M45" i="22"/>
  <c r="F254" i="53"/>
  <c r="H10" i="21"/>
  <c r="K38" i="61"/>
  <c r="H36" i="21"/>
  <c r="J48" i="42"/>
  <c r="D69" i="22"/>
  <c r="E38" i="22"/>
  <c r="F40" i="22"/>
  <c r="E68" i="22"/>
  <c r="E144" i="72"/>
  <c r="D260" i="53"/>
  <c r="D262" i="53" s="1"/>
  <c r="D274" i="53" s="1"/>
  <c r="D276" i="53" s="1"/>
  <c r="G120" i="83"/>
  <c r="G51" i="53"/>
  <c r="G104" i="53" s="1"/>
  <c r="H172" i="53" s="1"/>
  <c r="F55" i="83"/>
  <c r="E44" i="55"/>
  <c r="E101" i="55" s="1"/>
  <c r="G114" i="83"/>
  <c r="G45" i="53"/>
  <c r="G98" i="53" s="1"/>
  <c r="F62" i="83"/>
  <c r="E51" i="55"/>
  <c r="E108" i="55" s="1"/>
  <c r="G118" i="83"/>
  <c r="G49" i="53"/>
  <c r="G102" i="53" s="1"/>
  <c r="J226" i="53"/>
  <c r="J159" i="53"/>
  <c r="F38" i="55"/>
  <c r="F95" i="55" s="1"/>
  <c r="G49" i="83"/>
  <c r="F257" i="55"/>
  <c r="D144" i="55"/>
  <c r="F203" i="55" s="1"/>
  <c r="J241" i="53"/>
  <c r="J177" i="53"/>
  <c r="G82" i="83"/>
  <c r="F21" i="84"/>
  <c r="F52" i="84" s="1"/>
  <c r="H39" i="53"/>
  <c r="H92" i="53" s="1"/>
  <c r="H108" i="83"/>
  <c r="I39" i="53" s="1"/>
  <c r="I92" i="53" s="1"/>
  <c r="F57" i="55"/>
  <c r="F114" i="55" s="1"/>
  <c r="G68" i="83"/>
  <c r="E45" i="55"/>
  <c r="E102" i="55" s="1"/>
  <c r="F56" i="83"/>
  <c r="H50" i="83"/>
  <c r="H39" i="55" s="1"/>
  <c r="H96" i="55" s="1"/>
  <c r="G39" i="55"/>
  <c r="G96" i="55" s="1"/>
  <c r="E161" i="72"/>
  <c r="H224" i="53"/>
  <c r="H157" i="53"/>
  <c r="F86" i="83"/>
  <c r="E25" i="84"/>
  <c r="E56" i="84" s="1"/>
  <c r="H240" i="53"/>
  <c r="H176" i="53"/>
  <c r="G115" i="83"/>
  <c r="G46" i="53"/>
  <c r="G99" i="53" s="1"/>
  <c r="F269" i="55"/>
  <c r="D156" i="55"/>
  <c r="F215" i="55" s="1"/>
  <c r="E92" i="55"/>
  <c r="F89" i="83"/>
  <c r="E28" i="84"/>
  <c r="E59" i="84" s="1"/>
  <c r="F271" i="55"/>
  <c r="D158" i="55"/>
  <c r="F217" i="55" s="1"/>
  <c r="H221" i="53"/>
  <c r="H154" i="53"/>
  <c r="G67" i="83"/>
  <c r="F56" i="55"/>
  <c r="F113" i="55" s="1"/>
  <c r="G264" i="55"/>
  <c r="E151" i="55"/>
  <c r="G210" i="55" s="1"/>
  <c r="G238" i="53"/>
  <c r="G171" i="53"/>
  <c r="G230" i="53"/>
  <c r="G163" i="53"/>
  <c r="F94" i="83"/>
  <c r="E33" i="84"/>
  <c r="E145" i="55"/>
  <c r="G204" i="55" s="1"/>
  <c r="G258" i="55"/>
  <c r="H229" i="53"/>
  <c r="H162" i="53"/>
  <c r="D39" i="84"/>
  <c r="G265" i="55"/>
  <c r="E152" i="55"/>
  <c r="G211" i="55" s="1"/>
  <c r="I242" i="53"/>
  <c r="I178" i="53"/>
  <c r="H262" i="55"/>
  <c r="F149" i="55"/>
  <c r="H208" i="55" s="1"/>
  <c r="H222" i="53"/>
  <c r="H155" i="53"/>
  <c r="G263" i="55"/>
  <c r="E150" i="55"/>
  <c r="G209" i="55" s="1"/>
  <c r="H97" i="83"/>
  <c r="H36" i="84" s="1"/>
  <c r="H64" i="84" s="1"/>
  <c r="G36" i="84"/>
  <c r="G64" i="84" s="1"/>
  <c r="G117" i="83"/>
  <c r="G48" i="53"/>
  <c r="G101" i="53" s="1"/>
  <c r="H79" i="83"/>
  <c r="H18" i="84" s="1"/>
  <c r="H49" i="84" s="1"/>
  <c r="G18" i="84"/>
  <c r="G49" i="84" s="1"/>
  <c r="G122" i="83"/>
  <c r="G53" i="53"/>
  <c r="G106" i="53" s="1"/>
  <c r="H174" i="53" s="1"/>
  <c r="G48" i="83"/>
  <c r="F37" i="55"/>
  <c r="F94" i="55" s="1"/>
  <c r="H40" i="53"/>
  <c r="H93" i="53" s="1"/>
  <c r="H109" i="83"/>
  <c r="I40" i="53" s="1"/>
  <c r="I93" i="53" s="1"/>
  <c r="G121" i="83"/>
  <c r="G52" i="53"/>
  <c r="G105" i="53" s="1"/>
  <c r="H173" i="53" s="1"/>
  <c r="G77" i="83"/>
  <c r="F16" i="84"/>
  <c r="F47" i="84" s="1"/>
  <c r="G75" i="83"/>
  <c r="F14" i="84"/>
  <c r="H105" i="83"/>
  <c r="I36" i="53" s="1"/>
  <c r="I89" i="53" s="1"/>
  <c r="H36" i="53"/>
  <c r="H89" i="53" s="1"/>
  <c r="H124" i="83"/>
  <c r="I55" i="53" s="1"/>
  <c r="I108" i="53" s="1"/>
  <c r="H55" i="53"/>
  <c r="H108" i="53" s="1"/>
  <c r="F91" i="83"/>
  <c r="E30" i="84"/>
  <c r="E61" i="84" s="1"/>
  <c r="G234" i="53"/>
  <c r="G167" i="53"/>
  <c r="F88" i="83"/>
  <c r="E27" i="84"/>
  <c r="E58" i="84" s="1"/>
  <c r="E47" i="55"/>
  <c r="E104" i="55" s="1"/>
  <c r="F58" i="83"/>
  <c r="G46" i="83"/>
  <c r="F35" i="55"/>
  <c r="H277" i="55"/>
  <c r="F167" i="55"/>
  <c r="H226" i="55" s="1"/>
  <c r="F60" i="83"/>
  <c r="E49" i="55"/>
  <c r="E106" i="55" s="1"/>
  <c r="H102" i="83"/>
  <c r="I33" i="53" s="1"/>
  <c r="I86" i="53" s="1"/>
  <c r="H33" i="53"/>
  <c r="H86" i="53" s="1"/>
  <c r="H98" i="83"/>
  <c r="H37" i="84" s="1"/>
  <c r="H65" i="84" s="1"/>
  <c r="G37" i="84"/>
  <c r="G65" i="84" s="1"/>
  <c r="F92" i="83"/>
  <c r="E31" i="84"/>
  <c r="G275" i="55"/>
  <c r="E165" i="55"/>
  <c r="G224" i="55" s="1"/>
  <c r="F15" i="84"/>
  <c r="F46" i="84" s="1"/>
  <c r="G76" i="83"/>
  <c r="F87" i="83"/>
  <c r="E26" i="84"/>
  <c r="E57" i="84" s="1"/>
  <c r="D165" i="84"/>
  <c r="D166" i="84"/>
  <c r="F84" i="83"/>
  <c r="E23" i="84"/>
  <c r="E54" i="84" s="1"/>
  <c r="G53" i="83"/>
  <c r="F42" i="55"/>
  <c r="F99" i="55" s="1"/>
  <c r="G119" i="83"/>
  <c r="G50" i="53"/>
  <c r="G103" i="53" s="1"/>
  <c r="G111" i="83"/>
  <c r="G42" i="53"/>
  <c r="G95" i="53" s="1"/>
  <c r="G96" i="83"/>
  <c r="F35" i="84"/>
  <c r="F63" i="84" s="1"/>
  <c r="G47" i="83"/>
  <c r="F36" i="55"/>
  <c r="F93" i="55" s="1"/>
  <c r="C12" i="84"/>
  <c r="C42" i="84"/>
  <c r="H78" i="83"/>
  <c r="H17" i="84" s="1"/>
  <c r="H48" i="84" s="1"/>
  <c r="G17" i="84"/>
  <c r="G48" i="84" s="1"/>
  <c r="H110" i="83"/>
  <c r="I41" i="53" s="1"/>
  <c r="I94" i="53" s="1"/>
  <c r="H41" i="53"/>
  <c r="H94" i="53" s="1"/>
  <c r="G54" i="83"/>
  <c r="F43" i="55"/>
  <c r="F100" i="55" s="1"/>
  <c r="G81" i="83"/>
  <c r="F20" i="84"/>
  <c r="F51" i="84" s="1"/>
  <c r="J242" i="53"/>
  <c r="J178" i="53"/>
  <c r="H51" i="83"/>
  <c r="H40" i="55" s="1"/>
  <c r="H97" i="55" s="1"/>
  <c r="G40" i="55"/>
  <c r="G97" i="55" s="1"/>
  <c r="H103" i="83"/>
  <c r="I34" i="53" s="1"/>
  <c r="I87" i="53" s="1"/>
  <c r="H34" i="53"/>
  <c r="H87" i="53" s="1"/>
  <c r="G52" i="83"/>
  <c r="F41" i="55"/>
  <c r="F98" i="55" s="1"/>
  <c r="F83" i="83"/>
  <c r="E22" i="84"/>
  <c r="E53" i="84" s="1"/>
  <c r="E24" i="84"/>
  <c r="E55" i="84" s="1"/>
  <c r="F85" i="83"/>
  <c r="E125" i="84"/>
  <c r="E142" i="84" s="1"/>
  <c r="G155" i="84" s="1"/>
  <c r="G163" i="84"/>
  <c r="G167" i="84"/>
  <c r="G164" i="84"/>
  <c r="E124" i="84"/>
  <c r="E141" i="84" s="1"/>
  <c r="E126" i="84"/>
  <c r="E143" i="84" s="1"/>
  <c r="G156" i="84" s="1"/>
  <c r="F272" i="55"/>
  <c r="D159" i="55"/>
  <c r="F218" i="55" s="1"/>
  <c r="H223" i="53"/>
  <c r="H156" i="53"/>
  <c r="G113" i="83"/>
  <c r="G44" i="53"/>
  <c r="G97" i="53" s="1"/>
  <c r="J225" i="53"/>
  <c r="J158" i="53"/>
  <c r="G116" i="83"/>
  <c r="G47" i="53"/>
  <c r="G100" i="53" s="1"/>
  <c r="F93" i="83"/>
  <c r="E32" i="84"/>
  <c r="F270" i="55"/>
  <c r="D157" i="55"/>
  <c r="F216" i="55" s="1"/>
  <c r="F63" i="83"/>
  <c r="E52" i="55"/>
  <c r="E109" i="55" s="1"/>
  <c r="F268" i="55"/>
  <c r="D155" i="55"/>
  <c r="F214" i="55" s="1"/>
  <c r="H123" i="83"/>
  <c r="I54" i="53" s="1"/>
  <c r="I107" i="53" s="1"/>
  <c r="H54" i="53"/>
  <c r="H107" i="53" s="1"/>
  <c r="F19" i="84"/>
  <c r="F50" i="84" s="1"/>
  <c r="G80" i="83"/>
  <c r="G112" i="83"/>
  <c r="G43" i="53"/>
  <c r="G96" i="53" s="1"/>
  <c r="H70" i="83"/>
  <c r="H59" i="55" s="1"/>
  <c r="H116" i="55" s="1"/>
  <c r="G59" i="55"/>
  <c r="G116" i="55" s="1"/>
  <c r="G169" i="53"/>
  <c r="G236" i="53"/>
  <c r="E160" i="72"/>
  <c r="F168" i="84"/>
  <c r="F169" i="84"/>
  <c r="F154" i="84"/>
  <c r="F159" i="84" s="1"/>
  <c r="G232" i="53"/>
  <c r="G165" i="53"/>
  <c r="F266" i="55"/>
  <c r="D153" i="55"/>
  <c r="F212" i="55" s="1"/>
  <c r="I225" i="53"/>
  <c r="I158" i="53"/>
  <c r="H69" i="83"/>
  <c r="H58" i="55" s="1"/>
  <c r="H115" i="55" s="1"/>
  <c r="G58" i="55"/>
  <c r="G115" i="55" s="1"/>
  <c r="G166" i="53"/>
  <c r="G233" i="53"/>
  <c r="F90" i="83"/>
  <c r="E29" i="84"/>
  <c r="E60" i="84" s="1"/>
  <c r="G259" i="55"/>
  <c r="E146" i="55"/>
  <c r="G205" i="55" s="1"/>
  <c r="H228" i="53"/>
  <c r="H161" i="53"/>
  <c r="G235" i="53"/>
  <c r="G168" i="53"/>
  <c r="F273" i="55"/>
  <c r="D160" i="55"/>
  <c r="F219" i="55" s="1"/>
  <c r="F59" i="83"/>
  <c r="E48" i="55"/>
  <c r="E105" i="55" s="1"/>
  <c r="G170" i="53"/>
  <c r="G237" i="53"/>
  <c r="F274" i="55"/>
  <c r="D161" i="55"/>
  <c r="F220" i="55" s="1"/>
  <c r="I226" i="53"/>
  <c r="I159" i="53"/>
  <c r="G260" i="55"/>
  <c r="E147" i="55"/>
  <c r="G206" i="55" s="1"/>
  <c r="C143" i="29"/>
  <c r="C173" i="29"/>
  <c r="C37" i="29"/>
  <c r="C128" i="29"/>
  <c r="C158" i="29"/>
  <c r="D61" i="55"/>
  <c r="F57" i="83"/>
  <c r="E46" i="55"/>
  <c r="E103" i="55" s="1"/>
  <c r="H239" i="53"/>
  <c r="H175" i="53"/>
  <c r="I241" i="53"/>
  <c r="I177" i="53"/>
  <c r="G231" i="53"/>
  <c r="G164" i="53"/>
  <c r="E45" i="84"/>
  <c r="H227" i="53"/>
  <c r="H160" i="53"/>
  <c r="H278" i="55"/>
  <c r="F168" i="55"/>
  <c r="H227" i="55" s="1"/>
  <c r="G276" i="55"/>
  <c r="E166" i="55"/>
  <c r="G225" i="55" s="1"/>
  <c r="F267" i="55"/>
  <c r="D154" i="55"/>
  <c r="F213" i="55" s="1"/>
  <c r="H261" i="55"/>
  <c r="F148" i="55"/>
  <c r="H207" i="55" s="1"/>
  <c r="F39" i="61"/>
  <c r="C13" i="21"/>
  <c r="G95" i="83"/>
  <c r="F34" i="84"/>
  <c r="F62" i="84" s="1"/>
  <c r="F61" i="83"/>
  <c r="E50" i="55"/>
  <c r="E107" i="55" s="1"/>
  <c r="H35" i="53"/>
  <c r="H88" i="53" s="1"/>
  <c r="H104" i="83"/>
  <c r="I35" i="53" s="1"/>
  <c r="I88" i="53" s="1"/>
  <c r="E34" i="61"/>
  <c r="F251" i="53"/>
  <c r="F188" i="53"/>
  <c r="D136" i="55"/>
  <c r="F194" i="55" s="1"/>
  <c r="F249" i="55"/>
  <c r="D130" i="55"/>
  <c r="F188" i="55" s="1"/>
  <c r="F243" i="55"/>
  <c r="E284" i="55"/>
  <c r="E285" i="55"/>
  <c r="E178" i="55"/>
  <c r="F253" i="55"/>
  <c r="D140" i="55"/>
  <c r="F198" i="55" s="1"/>
  <c r="H204" i="53"/>
  <c r="H137" i="53"/>
  <c r="H202" i="53"/>
  <c r="H135" i="53"/>
  <c r="H198" i="53"/>
  <c r="H131" i="53"/>
  <c r="G210" i="53"/>
  <c r="G143" i="53"/>
  <c r="G208" i="53"/>
  <c r="G141" i="53"/>
  <c r="G61" i="81"/>
  <c r="F30" i="55"/>
  <c r="F87" i="55" s="1"/>
  <c r="G213" i="53"/>
  <c r="G146" i="53"/>
  <c r="G207" i="53"/>
  <c r="G140" i="53"/>
  <c r="G215" i="53"/>
  <c r="G148" i="53"/>
  <c r="D134" i="55"/>
  <c r="F192" i="55" s="1"/>
  <c r="F247" i="55"/>
  <c r="F244" i="55"/>
  <c r="D131" i="55"/>
  <c r="F189" i="55" s="1"/>
  <c r="D157" i="72"/>
  <c r="D158" i="72"/>
  <c r="E156" i="72"/>
  <c r="C35" i="72"/>
  <c r="F247" i="53"/>
  <c r="F184" i="53"/>
  <c r="F141" i="72"/>
  <c r="F140" i="72"/>
  <c r="F58" i="81"/>
  <c r="E27" i="55"/>
  <c r="E84" i="55" s="1"/>
  <c r="E28" i="72"/>
  <c r="E52" i="72" s="1"/>
  <c r="F82" i="81"/>
  <c r="F52" i="81"/>
  <c r="E21" i="55"/>
  <c r="E78" i="55" s="1"/>
  <c r="F60" i="81"/>
  <c r="E29" i="55"/>
  <c r="E86" i="55" s="1"/>
  <c r="E30" i="72"/>
  <c r="E54" i="72" s="1"/>
  <c r="F84" i="81"/>
  <c r="F62" i="81"/>
  <c r="E31" i="55"/>
  <c r="E88" i="55" s="1"/>
  <c r="H99" i="81"/>
  <c r="H69" i="53"/>
  <c r="H97" i="81"/>
  <c r="H67" i="53"/>
  <c r="H95" i="81"/>
  <c r="H65" i="53"/>
  <c r="H93" i="81"/>
  <c r="H63" i="53"/>
  <c r="G106" i="81"/>
  <c r="G23" i="53"/>
  <c r="G76" i="53" s="1"/>
  <c r="G105" i="81"/>
  <c r="H22" i="53" s="1"/>
  <c r="G75" i="53"/>
  <c r="G101" i="81"/>
  <c r="H18" i="53" s="1"/>
  <c r="G71" i="53"/>
  <c r="G103" i="81"/>
  <c r="H20" i="53" s="1"/>
  <c r="G73" i="53"/>
  <c r="F18" i="55"/>
  <c r="F75" i="55" s="1"/>
  <c r="G49" i="81"/>
  <c r="F14" i="55"/>
  <c r="F71" i="55" s="1"/>
  <c r="G45" i="81"/>
  <c r="G252" i="55"/>
  <c r="E139" i="55"/>
  <c r="G197" i="55" s="1"/>
  <c r="G108" i="81"/>
  <c r="G25" i="53"/>
  <c r="G78" i="53" s="1"/>
  <c r="G107" i="81"/>
  <c r="G24" i="53"/>
  <c r="G77" i="53" s="1"/>
  <c r="G102" i="81"/>
  <c r="H19" i="53" s="1"/>
  <c r="G72" i="53"/>
  <c r="G110" i="81"/>
  <c r="G27" i="53"/>
  <c r="G80" i="53" s="1"/>
  <c r="G50" i="81"/>
  <c r="F19" i="55"/>
  <c r="F76" i="55" s="1"/>
  <c r="F56" i="81"/>
  <c r="E25" i="55"/>
  <c r="E82" i="55" s="1"/>
  <c r="E50" i="72"/>
  <c r="F80" i="81"/>
  <c r="F26" i="72" s="1"/>
  <c r="F242" i="55"/>
  <c r="D129" i="55"/>
  <c r="F187" i="55" s="1"/>
  <c r="F53" i="81"/>
  <c r="E22" i="55"/>
  <c r="E79" i="55" s="1"/>
  <c r="F83" i="81"/>
  <c r="E29" i="72"/>
  <c r="E53" i="72" s="1"/>
  <c r="E26" i="55"/>
  <c r="E83" i="55" s="1"/>
  <c r="F57" i="81"/>
  <c r="D95" i="72"/>
  <c r="F139" i="72" s="1"/>
  <c r="F152" i="72"/>
  <c r="D96" i="72"/>
  <c r="F85" i="81"/>
  <c r="E31" i="72"/>
  <c r="E55" i="72" s="1"/>
  <c r="C65" i="55"/>
  <c r="E200" i="55" s="1"/>
  <c r="F250" i="53"/>
  <c r="F187" i="53"/>
  <c r="E78" i="72"/>
  <c r="G154" i="72"/>
  <c r="E79" i="72"/>
  <c r="G70" i="81"/>
  <c r="G16" i="72" s="1"/>
  <c r="F40" i="72"/>
  <c r="G68" i="81"/>
  <c r="G14" i="72" s="1"/>
  <c r="F38" i="72"/>
  <c r="G73" i="81"/>
  <c r="G19" i="72" s="1"/>
  <c r="F43" i="72"/>
  <c r="G69" i="81"/>
  <c r="F15" i="72"/>
  <c r="F39" i="72" s="1"/>
  <c r="G209" i="53"/>
  <c r="G142" i="53"/>
  <c r="G216" i="53"/>
  <c r="G149" i="53"/>
  <c r="G217" i="53"/>
  <c r="G150" i="53"/>
  <c r="G75" i="81"/>
  <c r="F21" i="72"/>
  <c r="F45" i="72" s="1"/>
  <c r="F246" i="55"/>
  <c r="D133" i="55"/>
  <c r="F191" i="55" s="1"/>
  <c r="G238" i="55"/>
  <c r="E125" i="55"/>
  <c r="G183" i="55" s="1"/>
  <c r="G234" i="55"/>
  <c r="E121" i="55"/>
  <c r="G179" i="55" s="1"/>
  <c r="E37" i="72"/>
  <c r="E126" i="55"/>
  <c r="G184" i="55" s="1"/>
  <c r="G239" i="55"/>
  <c r="E124" i="55"/>
  <c r="G182" i="55" s="1"/>
  <c r="G237" i="55"/>
  <c r="E122" i="55"/>
  <c r="G180" i="55" s="1"/>
  <c r="G235" i="55"/>
  <c r="E68" i="55"/>
  <c r="D132" i="55"/>
  <c r="F190" i="55" s="1"/>
  <c r="F245" i="55"/>
  <c r="H203" i="53"/>
  <c r="H136" i="53"/>
  <c r="H201" i="53"/>
  <c r="H134" i="53"/>
  <c r="H199" i="53"/>
  <c r="H132" i="53"/>
  <c r="H197" i="53"/>
  <c r="H130" i="53"/>
  <c r="E28" i="55"/>
  <c r="E85" i="55" s="1"/>
  <c r="F59" i="81"/>
  <c r="F79" i="81"/>
  <c r="E25" i="72"/>
  <c r="E49" i="72" s="1"/>
  <c r="E259" i="53"/>
  <c r="C172" i="29"/>
  <c r="C157" i="29"/>
  <c r="C142" i="29"/>
  <c r="C127" i="29"/>
  <c r="C36" i="29"/>
  <c r="D32" i="72"/>
  <c r="D33" i="55"/>
  <c r="D10" i="55" s="1"/>
  <c r="F118" i="53"/>
  <c r="F115" i="53"/>
  <c r="F15" i="61"/>
  <c r="F245" i="53"/>
  <c r="F182" i="53"/>
  <c r="F251" i="55"/>
  <c r="D138" i="55"/>
  <c r="F196" i="55" s="1"/>
  <c r="H200" i="53"/>
  <c r="H133" i="53"/>
  <c r="G211" i="53"/>
  <c r="G144" i="53"/>
  <c r="G206" i="53"/>
  <c r="G139" i="53"/>
  <c r="G240" i="55"/>
  <c r="E127" i="55"/>
  <c r="G185" i="55" s="1"/>
  <c r="G236" i="55"/>
  <c r="E123" i="55"/>
  <c r="G181" i="55" s="1"/>
  <c r="G212" i="53"/>
  <c r="G145" i="53"/>
  <c r="E128" i="55"/>
  <c r="G186" i="55" s="1"/>
  <c r="G241" i="55"/>
  <c r="F51" i="81"/>
  <c r="E20" i="55"/>
  <c r="E77" i="55" s="1"/>
  <c r="D146" i="72"/>
  <c r="D148" i="72" s="1"/>
  <c r="B9" i="21" s="1"/>
  <c r="D159" i="72"/>
  <c r="D120" i="55"/>
  <c r="F233" i="55"/>
  <c r="F248" i="55"/>
  <c r="D135" i="55"/>
  <c r="F193" i="55" s="1"/>
  <c r="E47" i="72"/>
  <c r="F77" i="81"/>
  <c r="F23" i="72" s="1"/>
  <c r="B8" i="21"/>
  <c r="C123" i="29" s="1"/>
  <c r="F246" i="53"/>
  <c r="F183" i="53"/>
  <c r="F42" i="72"/>
  <c r="G72" i="81"/>
  <c r="G18" i="72" s="1"/>
  <c r="G155" i="72"/>
  <c r="E70" i="72"/>
  <c r="G142" i="72" s="1"/>
  <c r="E71" i="72"/>
  <c r="G153" i="72"/>
  <c r="E63" i="72"/>
  <c r="E64" i="72"/>
  <c r="F17" i="72"/>
  <c r="F41" i="72" s="1"/>
  <c r="G71" i="81"/>
  <c r="G104" i="81"/>
  <c r="H21" i="53" s="1"/>
  <c r="G74" i="53"/>
  <c r="G111" i="81"/>
  <c r="G28" i="53"/>
  <c r="G81" i="53" s="1"/>
  <c r="G112" i="81"/>
  <c r="G29" i="53"/>
  <c r="G82" i="53" s="1"/>
  <c r="F81" i="81"/>
  <c r="E27" i="72"/>
  <c r="E51" i="72" s="1"/>
  <c r="E24" i="55"/>
  <c r="E81" i="55" s="1"/>
  <c r="F55" i="81"/>
  <c r="F76" i="81"/>
  <c r="F22" i="72" s="1"/>
  <c r="E46" i="72"/>
  <c r="E48" i="72"/>
  <c r="F78" i="81"/>
  <c r="F24" i="72" s="1"/>
  <c r="G47" i="81"/>
  <c r="F16" i="55"/>
  <c r="F73" i="55" s="1"/>
  <c r="G43" i="81"/>
  <c r="F12" i="55"/>
  <c r="F69" i="55" s="1"/>
  <c r="D282" i="55"/>
  <c r="F44" i="72"/>
  <c r="G74" i="81"/>
  <c r="G20" i="72" s="1"/>
  <c r="F13" i="72"/>
  <c r="G67" i="81"/>
  <c r="G48" i="81"/>
  <c r="F17" i="55"/>
  <c r="F74" i="55" s="1"/>
  <c r="G46" i="81"/>
  <c r="F15" i="55"/>
  <c r="F72" i="55" s="1"/>
  <c r="G44" i="81"/>
  <c r="F13" i="55"/>
  <c r="F70" i="55" s="1"/>
  <c r="G42" i="81"/>
  <c r="F11" i="55"/>
  <c r="F54" i="81"/>
  <c r="E23" i="55"/>
  <c r="E80" i="55" s="1"/>
  <c r="H98" i="81"/>
  <c r="H68" i="53"/>
  <c r="H96" i="81"/>
  <c r="H66" i="53"/>
  <c r="H94" i="81"/>
  <c r="H64" i="53"/>
  <c r="H92" i="81"/>
  <c r="H62" i="53"/>
  <c r="F250" i="55"/>
  <c r="D137" i="55"/>
  <c r="F195" i="55" s="1"/>
  <c r="F119" i="53"/>
  <c r="F116" i="53"/>
  <c r="F114" i="53"/>
  <c r="E191" i="53"/>
  <c r="P59" i="22"/>
  <c r="Q56" i="22" s="1"/>
  <c r="N65" i="22"/>
  <c r="O62" i="22" s="1"/>
  <c r="N39" i="22"/>
  <c r="I177" i="29" l="1"/>
  <c r="I23" i="68"/>
  <c r="G254" i="53"/>
  <c r="M46" i="22"/>
  <c r="M68" i="22" s="1"/>
  <c r="M67" i="22"/>
  <c r="D98" i="22" s="1"/>
  <c r="M47" i="22"/>
  <c r="G253" i="53"/>
  <c r="I162" i="29"/>
  <c r="I45" i="29"/>
  <c r="I132" i="29"/>
  <c r="I147" i="29"/>
  <c r="I170" i="29"/>
  <c r="I140" i="29"/>
  <c r="I155" i="29"/>
  <c r="I125" i="29"/>
  <c r="I34" i="29"/>
  <c r="E18" i="61"/>
  <c r="F9" i="61" s="1"/>
  <c r="E41" i="22"/>
  <c r="E66" i="22"/>
  <c r="D13" i="69" s="1"/>
  <c r="D15" i="69" s="1"/>
  <c r="F68" i="22"/>
  <c r="G40" i="22"/>
  <c r="I9" i="53"/>
  <c r="I62" i="53" s="1"/>
  <c r="I13" i="53"/>
  <c r="I66" i="53" s="1"/>
  <c r="I10" i="53"/>
  <c r="I63" i="53" s="1"/>
  <c r="I14" i="53"/>
  <c r="I67" i="53" s="1"/>
  <c r="I11" i="53"/>
  <c r="I64" i="53" s="1"/>
  <c r="I15" i="53"/>
  <c r="I68" i="53" s="1"/>
  <c r="I12" i="53"/>
  <c r="I65" i="53" s="1"/>
  <c r="I16" i="53"/>
  <c r="I69" i="53" s="1"/>
  <c r="B22" i="21"/>
  <c r="B62" i="21" s="1"/>
  <c r="E39" i="84"/>
  <c r="B15" i="21"/>
  <c r="C6" i="68" s="1"/>
  <c r="E47" i="61"/>
  <c r="D158" i="29"/>
  <c r="D173" i="29"/>
  <c r="D143" i="29"/>
  <c r="D128" i="29"/>
  <c r="D37" i="29"/>
  <c r="H232" i="53"/>
  <c r="H165" i="53"/>
  <c r="G85" i="83"/>
  <c r="F24" i="84"/>
  <c r="F55" i="84" s="1"/>
  <c r="I262" i="55"/>
  <c r="G149" i="55"/>
  <c r="I208" i="55" s="1"/>
  <c r="G257" i="55"/>
  <c r="E144" i="55"/>
  <c r="G203" i="55" s="1"/>
  <c r="H115" i="83"/>
  <c r="I46" i="53" s="1"/>
  <c r="I99" i="53" s="1"/>
  <c r="H46" i="53"/>
  <c r="H99" i="53" s="1"/>
  <c r="I261" i="55"/>
  <c r="G148" i="55"/>
  <c r="I207" i="55" s="1"/>
  <c r="H68" i="83"/>
  <c r="H57" i="55" s="1"/>
  <c r="H114" i="55" s="1"/>
  <c r="G57" i="55"/>
  <c r="G114" i="55" s="1"/>
  <c r="G266" i="55"/>
  <c r="E153" i="55"/>
  <c r="G212" i="55" s="1"/>
  <c r="G61" i="83"/>
  <c r="F50" i="55"/>
  <c r="F107" i="55" s="1"/>
  <c r="F46" i="55"/>
  <c r="F103" i="55" s="1"/>
  <c r="G57" i="83"/>
  <c r="G59" i="83"/>
  <c r="F48" i="55"/>
  <c r="F105" i="55" s="1"/>
  <c r="J278" i="55"/>
  <c r="H168" i="55"/>
  <c r="H116" i="83"/>
  <c r="I47" i="53" s="1"/>
  <c r="I100" i="53" s="1"/>
  <c r="H47" i="53"/>
  <c r="H100" i="53" s="1"/>
  <c r="H44" i="53"/>
  <c r="H97" i="53" s="1"/>
  <c r="H113" i="83"/>
  <c r="I44" i="53" s="1"/>
  <c r="I97" i="53" s="1"/>
  <c r="H52" i="83"/>
  <c r="H41" i="55" s="1"/>
  <c r="H98" i="55" s="1"/>
  <c r="G41" i="55"/>
  <c r="G98" i="55" s="1"/>
  <c r="J262" i="55"/>
  <c r="H149" i="55"/>
  <c r="G20" i="84"/>
  <c r="G51" i="84" s="1"/>
  <c r="H81" i="83"/>
  <c r="H20" i="84" s="1"/>
  <c r="H51" i="84" s="1"/>
  <c r="J229" i="53"/>
  <c r="J162" i="53"/>
  <c r="E166" i="84"/>
  <c r="E165" i="84"/>
  <c r="G35" i="84"/>
  <c r="G63" i="84" s="1"/>
  <c r="H96" i="83"/>
  <c r="H35" i="84" s="1"/>
  <c r="H63" i="84" s="1"/>
  <c r="H119" i="83"/>
  <c r="I50" i="53" s="1"/>
  <c r="I103" i="53" s="1"/>
  <c r="H50" i="53"/>
  <c r="H103" i="53" s="1"/>
  <c r="F23" i="84"/>
  <c r="F54" i="84" s="1"/>
  <c r="G84" i="83"/>
  <c r="G87" i="83"/>
  <c r="F26" i="84"/>
  <c r="F57" i="84" s="1"/>
  <c r="G60" i="83"/>
  <c r="F49" i="55"/>
  <c r="F106" i="55" s="1"/>
  <c r="H46" i="83"/>
  <c r="H35" i="55" s="1"/>
  <c r="G35" i="55"/>
  <c r="F27" i="84"/>
  <c r="F58" i="84" s="1"/>
  <c r="G88" i="83"/>
  <c r="G91" i="83"/>
  <c r="F30" i="84"/>
  <c r="F61" i="84" s="1"/>
  <c r="J224" i="53"/>
  <c r="J157" i="53"/>
  <c r="G16" i="84"/>
  <c r="G47" i="84" s="1"/>
  <c r="H77" i="83"/>
  <c r="H16" i="84" s="1"/>
  <c r="H47" i="84" s="1"/>
  <c r="I228" i="53"/>
  <c r="I161" i="53"/>
  <c r="H122" i="83"/>
  <c r="I53" i="53" s="1"/>
  <c r="I106" i="53" s="1"/>
  <c r="H53" i="53"/>
  <c r="H106" i="53" s="1"/>
  <c r="I174" i="53" s="1"/>
  <c r="H117" i="83"/>
  <c r="I48" i="53" s="1"/>
  <c r="I101" i="53" s="1"/>
  <c r="H48" i="53"/>
  <c r="H101" i="53" s="1"/>
  <c r="J261" i="55"/>
  <c r="H148" i="55"/>
  <c r="H276" i="55"/>
  <c r="F166" i="55"/>
  <c r="H225" i="55" s="1"/>
  <c r="H82" i="83"/>
  <c r="H21" i="84" s="1"/>
  <c r="H52" i="84" s="1"/>
  <c r="G21" i="84"/>
  <c r="G52" i="84" s="1"/>
  <c r="G62" i="83"/>
  <c r="F51" i="55"/>
  <c r="F108" i="55" s="1"/>
  <c r="G55" i="83"/>
  <c r="F44" i="55"/>
  <c r="F101" i="55" s="1"/>
  <c r="G272" i="55"/>
  <c r="E159" i="55"/>
  <c r="G218" i="55" s="1"/>
  <c r="I278" i="55"/>
  <c r="G168" i="55"/>
  <c r="I227" i="55" s="1"/>
  <c r="H80" i="83"/>
  <c r="H19" i="84" s="1"/>
  <c r="H50" i="84" s="1"/>
  <c r="G19" i="84"/>
  <c r="G50" i="84" s="1"/>
  <c r="H235" i="53"/>
  <c r="H168" i="53"/>
  <c r="G271" i="55"/>
  <c r="E158" i="55"/>
  <c r="G217" i="55" s="1"/>
  <c r="J228" i="53"/>
  <c r="J161" i="53"/>
  <c r="G94" i="83"/>
  <c r="G33" i="84" s="1"/>
  <c r="F33" i="84"/>
  <c r="F25" i="84"/>
  <c r="F56" i="84" s="1"/>
  <c r="G86" i="83"/>
  <c r="G273" i="55"/>
  <c r="E160" i="55"/>
  <c r="G219" i="55" s="1"/>
  <c r="J223" i="53"/>
  <c r="J156" i="53"/>
  <c r="H167" i="84"/>
  <c r="H163" i="84"/>
  <c r="F124" i="84"/>
  <c r="F141" i="84" s="1"/>
  <c r="F126" i="84"/>
  <c r="F143" i="84" s="1"/>
  <c r="H156" i="84" s="1"/>
  <c r="H164" i="84"/>
  <c r="F125" i="84"/>
  <c r="F142" i="84" s="1"/>
  <c r="H155" i="84" s="1"/>
  <c r="I277" i="55"/>
  <c r="G167" i="55"/>
  <c r="I226" i="55" s="1"/>
  <c r="G39" i="61"/>
  <c r="D13" i="21"/>
  <c r="H164" i="53"/>
  <c r="H231" i="53"/>
  <c r="I239" i="53"/>
  <c r="I175" i="53"/>
  <c r="E161" i="55"/>
  <c r="G220" i="55" s="1"/>
  <c r="G274" i="55"/>
  <c r="I222" i="53"/>
  <c r="I155" i="53"/>
  <c r="H265" i="55"/>
  <c r="F152" i="55"/>
  <c r="H211" i="55" s="1"/>
  <c r="H258" i="55"/>
  <c r="F145" i="55"/>
  <c r="H204" i="55" s="1"/>
  <c r="H230" i="53"/>
  <c r="H163" i="53"/>
  <c r="H264" i="55"/>
  <c r="F151" i="55"/>
  <c r="H210" i="55" s="1"/>
  <c r="H76" i="83"/>
  <c r="H15" i="84" s="1"/>
  <c r="H46" i="84" s="1"/>
  <c r="G15" i="84"/>
  <c r="G46" i="84" s="1"/>
  <c r="I221" i="53"/>
  <c r="I154" i="53"/>
  <c r="G58" i="83"/>
  <c r="F47" i="55"/>
  <c r="F104" i="55" s="1"/>
  <c r="I240" i="53"/>
  <c r="I176" i="53"/>
  <c r="F45" i="84"/>
  <c r="H259" i="55"/>
  <c r="F146" i="55"/>
  <c r="H205" i="55" s="1"/>
  <c r="D12" i="84"/>
  <c r="D42" i="84"/>
  <c r="G89" i="83"/>
  <c r="F28" i="84"/>
  <c r="F59" i="84" s="1"/>
  <c r="G56" i="83"/>
  <c r="F45" i="55"/>
  <c r="F102" i="55" s="1"/>
  <c r="J227" i="53"/>
  <c r="J160" i="53"/>
  <c r="H49" i="83"/>
  <c r="H38" i="55" s="1"/>
  <c r="H95" i="55" s="1"/>
  <c r="G38" i="55"/>
  <c r="G95" i="55" s="1"/>
  <c r="H237" i="53"/>
  <c r="H170" i="53"/>
  <c r="H233" i="53"/>
  <c r="H166" i="53"/>
  <c r="E12" i="84"/>
  <c r="E42" i="84"/>
  <c r="G268" i="55"/>
  <c r="E155" i="55"/>
  <c r="G214" i="55" s="1"/>
  <c r="G270" i="55"/>
  <c r="E157" i="55"/>
  <c r="G216" i="55" s="1"/>
  <c r="H263" i="55"/>
  <c r="F150" i="55"/>
  <c r="H209" i="55" s="1"/>
  <c r="I229" i="53"/>
  <c r="I162" i="53"/>
  <c r="H238" i="53"/>
  <c r="H171" i="53"/>
  <c r="F92" i="55"/>
  <c r="I224" i="53"/>
  <c r="I157" i="53"/>
  <c r="H236" i="53"/>
  <c r="H169" i="53"/>
  <c r="G56" i="55"/>
  <c r="G113" i="55" s="1"/>
  <c r="H67" i="83"/>
  <c r="H56" i="55" s="1"/>
  <c r="H113" i="55" s="1"/>
  <c r="I223" i="53"/>
  <c r="I156" i="53"/>
  <c r="H95" i="83"/>
  <c r="H34" i="84" s="1"/>
  <c r="H62" i="84" s="1"/>
  <c r="G34" i="84"/>
  <c r="G62" i="84" s="1"/>
  <c r="G90" i="83"/>
  <c r="F29" i="84"/>
  <c r="F60" i="84" s="1"/>
  <c r="J277" i="55"/>
  <c r="H167" i="55"/>
  <c r="H43" i="53"/>
  <c r="H96" i="53" s="1"/>
  <c r="H112" i="83"/>
  <c r="I43" i="53" s="1"/>
  <c r="I96" i="53" s="1"/>
  <c r="J239" i="53"/>
  <c r="J175" i="53"/>
  <c r="G63" i="83"/>
  <c r="F52" i="55"/>
  <c r="F109" i="55" s="1"/>
  <c r="G93" i="83"/>
  <c r="G32" i="84" s="1"/>
  <c r="F32" i="84"/>
  <c r="G169" i="84"/>
  <c r="G154" i="84"/>
  <c r="G159" i="84" s="1"/>
  <c r="G168" i="84"/>
  <c r="G83" i="83"/>
  <c r="F22" i="84"/>
  <c r="F53" i="84" s="1"/>
  <c r="J222" i="53"/>
  <c r="J155" i="53"/>
  <c r="H54" i="83"/>
  <c r="H43" i="55" s="1"/>
  <c r="H100" i="55" s="1"/>
  <c r="G43" i="55"/>
  <c r="G100" i="55" s="1"/>
  <c r="H47" i="83"/>
  <c r="H36" i="55" s="1"/>
  <c r="H93" i="55" s="1"/>
  <c r="G36" i="55"/>
  <c r="G93" i="55" s="1"/>
  <c r="H111" i="83"/>
  <c r="I42" i="53" s="1"/>
  <c r="I95" i="53" s="1"/>
  <c r="H42" i="53"/>
  <c r="H95" i="53" s="1"/>
  <c r="H53" i="83"/>
  <c r="H42" i="55" s="1"/>
  <c r="H99" i="55" s="1"/>
  <c r="G42" i="55"/>
  <c r="G99" i="55" s="1"/>
  <c r="G92" i="83"/>
  <c r="G31" i="84" s="1"/>
  <c r="F31" i="84"/>
  <c r="J221" i="53"/>
  <c r="J154" i="53"/>
  <c r="G269" i="55"/>
  <c r="E156" i="55"/>
  <c r="G215" i="55" s="1"/>
  <c r="J240" i="53"/>
  <c r="J176" i="53"/>
  <c r="H75" i="83"/>
  <c r="H14" i="84" s="1"/>
  <c r="G14" i="84"/>
  <c r="H121" i="83"/>
  <c r="I52" i="53" s="1"/>
  <c r="I105" i="53" s="1"/>
  <c r="H52" i="53"/>
  <c r="H105" i="53" s="1"/>
  <c r="I173" i="53" s="1"/>
  <c r="G37" i="55"/>
  <c r="G94" i="55" s="1"/>
  <c r="H48" i="83"/>
  <c r="H37" i="55" s="1"/>
  <c r="H94" i="55" s="1"/>
  <c r="H275" i="55"/>
  <c r="F165" i="55"/>
  <c r="H224" i="55" s="1"/>
  <c r="E61" i="55"/>
  <c r="H234" i="53"/>
  <c r="H167" i="53"/>
  <c r="G267" i="55"/>
  <c r="E154" i="55"/>
  <c r="G213" i="55" s="1"/>
  <c r="I227" i="53"/>
  <c r="I160" i="53"/>
  <c r="H260" i="55"/>
  <c r="F147" i="55"/>
  <c r="H206" i="55" s="1"/>
  <c r="H118" i="83"/>
  <c r="I49" i="53" s="1"/>
  <c r="I102" i="53" s="1"/>
  <c r="H49" i="53"/>
  <c r="H102" i="53" s="1"/>
  <c r="H114" i="83"/>
  <c r="I45" i="53" s="1"/>
  <c r="I98" i="53" s="1"/>
  <c r="H45" i="53"/>
  <c r="H98" i="53" s="1"/>
  <c r="H120" i="83"/>
  <c r="I51" i="53" s="1"/>
  <c r="I104" i="53" s="1"/>
  <c r="H51" i="53"/>
  <c r="H104" i="53" s="1"/>
  <c r="I172" i="53" s="1"/>
  <c r="G15" i="61"/>
  <c r="H6" i="61" s="1"/>
  <c r="C12" i="21"/>
  <c r="F34" i="61"/>
  <c r="G247" i="53"/>
  <c r="G184" i="53"/>
  <c r="G54" i="81"/>
  <c r="F23" i="55"/>
  <c r="F80" i="55" s="1"/>
  <c r="H42" i="81"/>
  <c r="H11" i="55" s="1"/>
  <c r="G11" i="55"/>
  <c r="H44" i="81"/>
  <c r="H13" i="55" s="1"/>
  <c r="H70" i="55" s="1"/>
  <c r="G13" i="55"/>
  <c r="G70" i="55" s="1"/>
  <c r="H48" i="81"/>
  <c r="H17" i="55" s="1"/>
  <c r="H74" i="55" s="1"/>
  <c r="G17" i="55"/>
  <c r="G74" i="55" s="1"/>
  <c r="F37" i="72"/>
  <c r="H47" i="81"/>
  <c r="H16" i="55" s="1"/>
  <c r="H73" i="55" s="1"/>
  <c r="G16" i="55"/>
  <c r="G73" i="55" s="1"/>
  <c r="G246" i="55"/>
  <c r="E133" i="55"/>
  <c r="G191" i="55" s="1"/>
  <c r="F27" i="72"/>
  <c r="F51" i="72" s="1"/>
  <c r="G81" i="81"/>
  <c r="H111" i="81"/>
  <c r="I28" i="53" s="1"/>
  <c r="I81" i="53" s="1"/>
  <c r="H28" i="53"/>
  <c r="H81" i="53" s="1"/>
  <c r="G245" i="53"/>
  <c r="G182" i="53"/>
  <c r="G251" i="53"/>
  <c r="G188" i="53"/>
  <c r="I197" i="53"/>
  <c r="I130" i="53"/>
  <c r="I199" i="53"/>
  <c r="I132" i="53"/>
  <c r="I201" i="53"/>
  <c r="I134" i="53"/>
  <c r="I203" i="53"/>
  <c r="I136" i="53"/>
  <c r="E132" i="55"/>
  <c r="G190" i="55" s="1"/>
  <c r="G245" i="55"/>
  <c r="F68" i="55"/>
  <c r="F122" i="55"/>
  <c r="H180" i="55" s="1"/>
  <c r="H235" i="55"/>
  <c r="F124" i="55"/>
  <c r="H182" i="55" s="1"/>
  <c r="H237" i="55"/>
  <c r="F126" i="55"/>
  <c r="H184" i="55" s="1"/>
  <c r="H239" i="55"/>
  <c r="H67" i="81"/>
  <c r="H13" i="72" s="1"/>
  <c r="G13" i="72"/>
  <c r="H74" i="81"/>
  <c r="G44" i="72"/>
  <c r="H234" i="55"/>
  <c r="F121" i="55"/>
  <c r="H179" i="55" s="1"/>
  <c r="H238" i="55"/>
  <c r="F125" i="55"/>
  <c r="H183" i="55" s="1"/>
  <c r="G78" i="81"/>
  <c r="G24" i="72" s="1"/>
  <c r="F48" i="72"/>
  <c r="G55" i="81"/>
  <c r="F24" i="55"/>
  <c r="F81" i="55" s="1"/>
  <c r="H217" i="53"/>
  <c r="H150" i="53"/>
  <c r="H216" i="53"/>
  <c r="H149" i="53"/>
  <c r="H209" i="53"/>
  <c r="H142" i="53"/>
  <c r="H71" i="81"/>
  <c r="H17" i="72" s="1"/>
  <c r="H41" i="72" s="1"/>
  <c r="G17" i="72"/>
  <c r="G41" i="72" s="1"/>
  <c r="H72" i="81"/>
  <c r="G42" i="72"/>
  <c r="G77" i="81"/>
  <c r="G23" i="72" s="1"/>
  <c r="F47" i="72"/>
  <c r="G242" i="55"/>
  <c r="E129" i="55"/>
  <c r="G187" i="55" s="1"/>
  <c r="E260" i="53"/>
  <c r="E262" i="53" s="1"/>
  <c r="G6" i="61"/>
  <c r="G246" i="53"/>
  <c r="G183" i="53"/>
  <c r="F25" i="72"/>
  <c r="F49" i="72" s="1"/>
  <c r="G79" i="81"/>
  <c r="G250" i="55"/>
  <c r="E137" i="55"/>
  <c r="G195" i="55" s="1"/>
  <c r="F63" i="72"/>
  <c r="H153" i="72"/>
  <c r="F64" i="72"/>
  <c r="H155" i="72"/>
  <c r="F71" i="72"/>
  <c r="F70" i="72"/>
  <c r="H142" i="72" s="1"/>
  <c r="G141" i="72"/>
  <c r="E283" i="55"/>
  <c r="E282" i="55"/>
  <c r="F31" i="72"/>
  <c r="F55" i="72" s="1"/>
  <c r="G85" i="81"/>
  <c r="G57" i="81"/>
  <c r="F26" i="55"/>
  <c r="F83" i="55" s="1"/>
  <c r="G244" i="55"/>
  <c r="E131" i="55"/>
  <c r="G189" i="55" s="1"/>
  <c r="G80" i="81"/>
  <c r="G26" i="72" s="1"/>
  <c r="F50" i="72"/>
  <c r="E134" i="55"/>
  <c r="G192" i="55" s="1"/>
  <c r="G247" i="55"/>
  <c r="F128" i="55"/>
  <c r="H186" i="55" s="1"/>
  <c r="H241" i="55"/>
  <c r="H215" i="53"/>
  <c r="H148" i="53"/>
  <c r="H207" i="53"/>
  <c r="H140" i="53"/>
  <c r="H212" i="53"/>
  <c r="H145" i="53"/>
  <c r="H213" i="53"/>
  <c r="H146" i="53"/>
  <c r="H45" i="81"/>
  <c r="H14" i="55" s="1"/>
  <c r="H71" i="55" s="1"/>
  <c r="G14" i="55"/>
  <c r="G71" i="55" s="1"/>
  <c r="H49" i="81"/>
  <c r="H18" i="55" s="1"/>
  <c r="H75" i="55" s="1"/>
  <c r="G18" i="55"/>
  <c r="G75" i="55" s="1"/>
  <c r="H208" i="53"/>
  <c r="H141" i="53"/>
  <c r="H206" i="53"/>
  <c r="H139" i="53"/>
  <c r="H210" i="53"/>
  <c r="H143" i="53"/>
  <c r="H211" i="53"/>
  <c r="H144" i="53"/>
  <c r="I198" i="53"/>
  <c r="I131" i="53"/>
  <c r="I200" i="53"/>
  <c r="I133" i="53"/>
  <c r="I202" i="53"/>
  <c r="I135" i="53"/>
  <c r="I204" i="53"/>
  <c r="I137" i="53"/>
  <c r="E140" i="55"/>
  <c r="G198" i="55" s="1"/>
  <c r="G253" i="55"/>
  <c r="G84" i="81"/>
  <c r="F30" i="72"/>
  <c r="F54" i="72" s="1"/>
  <c r="E138" i="55"/>
  <c r="G196" i="55" s="1"/>
  <c r="G251" i="55"/>
  <c r="E130" i="55"/>
  <c r="G188" i="55" s="1"/>
  <c r="G243" i="55"/>
  <c r="G82" i="81"/>
  <c r="F28" i="72"/>
  <c r="F52" i="72" s="1"/>
  <c r="E136" i="55"/>
  <c r="G194" i="55" s="1"/>
  <c r="G249" i="55"/>
  <c r="E157" i="72"/>
  <c r="E158" i="72"/>
  <c r="H252" i="55"/>
  <c r="F139" i="55"/>
  <c r="H197" i="55" s="1"/>
  <c r="E16" i="61"/>
  <c r="F191" i="53"/>
  <c r="G118" i="53"/>
  <c r="G115" i="53"/>
  <c r="E33" i="55"/>
  <c r="E10" i="55" s="1"/>
  <c r="F144" i="72"/>
  <c r="F160" i="72"/>
  <c r="E17" i="61"/>
  <c r="E229" i="55"/>
  <c r="H46" i="81"/>
  <c r="H15" i="55" s="1"/>
  <c r="H72" i="55" s="1"/>
  <c r="G15" i="55"/>
  <c r="G72" i="55" s="1"/>
  <c r="H43" i="81"/>
  <c r="H12" i="55" s="1"/>
  <c r="H69" i="55" s="1"/>
  <c r="G12" i="55"/>
  <c r="G69" i="55" s="1"/>
  <c r="F46" i="72"/>
  <c r="G76" i="81"/>
  <c r="G22" i="72" s="1"/>
  <c r="H112" i="81"/>
  <c r="I29" i="53" s="1"/>
  <c r="I82" i="53" s="1"/>
  <c r="H29" i="53"/>
  <c r="H82" i="53" s="1"/>
  <c r="H104" i="81"/>
  <c r="I21" i="53" s="1"/>
  <c r="H74" i="53"/>
  <c r="G140" i="72"/>
  <c r="H154" i="72"/>
  <c r="F78" i="72"/>
  <c r="F79" i="72"/>
  <c r="C168" i="29"/>
  <c r="C153" i="29"/>
  <c r="C138" i="29"/>
  <c r="C32" i="29"/>
  <c r="G152" i="72"/>
  <c r="E95" i="72"/>
  <c r="G139" i="72" s="1"/>
  <c r="E96" i="72"/>
  <c r="F284" i="55"/>
  <c r="F285" i="55"/>
  <c r="F178" i="55"/>
  <c r="E37" i="61"/>
  <c r="E41" i="61" s="1"/>
  <c r="B9" i="69" s="1"/>
  <c r="G51" i="81"/>
  <c r="F20" i="55"/>
  <c r="F77" i="55" s="1"/>
  <c r="G250" i="53"/>
  <c r="G187" i="53"/>
  <c r="D65" i="55"/>
  <c r="F200" i="55" s="1"/>
  <c r="D12" i="72"/>
  <c r="F156" i="72"/>
  <c r="D35" i="72"/>
  <c r="G59" i="81"/>
  <c r="F28" i="55"/>
  <c r="F85" i="55" s="1"/>
  <c r="E120" i="55"/>
  <c r="G233" i="55"/>
  <c r="H75" i="81"/>
  <c r="H21" i="72" s="1"/>
  <c r="H45" i="72" s="1"/>
  <c r="G21" i="72"/>
  <c r="G45" i="72" s="1"/>
  <c r="H69" i="81"/>
  <c r="H15" i="72" s="1"/>
  <c r="H39" i="72" s="1"/>
  <c r="G15" i="72"/>
  <c r="G39" i="72" s="1"/>
  <c r="H73" i="81"/>
  <c r="G43" i="72"/>
  <c r="H68" i="81"/>
  <c r="G38" i="72"/>
  <c r="H70" i="81"/>
  <c r="G40" i="72"/>
  <c r="G248" i="55"/>
  <c r="E135" i="55"/>
  <c r="G193" i="55" s="1"/>
  <c r="F29" i="72"/>
  <c r="F53" i="72" s="1"/>
  <c r="G83" i="81"/>
  <c r="F22" i="55"/>
  <c r="F79" i="55" s="1"/>
  <c r="G53" i="81"/>
  <c r="G56" i="81"/>
  <c r="F25" i="55"/>
  <c r="F82" i="55" s="1"/>
  <c r="H50" i="81"/>
  <c r="H19" i="55" s="1"/>
  <c r="H76" i="55" s="1"/>
  <c r="G19" i="55"/>
  <c r="G76" i="55" s="1"/>
  <c r="H110" i="81"/>
  <c r="I27" i="53" s="1"/>
  <c r="I80" i="53" s="1"/>
  <c r="H27" i="53"/>
  <c r="H80" i="53" s="1"/>
  <c r="H102" i="81"/>
  <c r="I19" i="53" s="1"/>
  <c r="H72" i="53"/>
  <c r="H107" i="81"/>
  <c r="I24" i="53" s="1"/>
  <c r="I77" i="53" s="1"/>
  <c r="H24" i="53"/>
  <c r="H77" i="53" s="1"/>
  <c r="H108" i="81"/>
  <c r="I25" i="53" s="1"/>
  <c r="I78" i="53" s="1"/>
  <c r="H25" i="53"/>
  <c r="H78" i="53" s="1"/>
  <c r="H236" i="55"/>
  <c r="F123" i="55"/>
  <c r="H181" i="55" s="1"/>
  <c r="H240" i="55"/>
  <c r="F127" i="55"/>
  <c r="H185" i="55" s="1"/>
  <c r="H103" i="81"/>
  <c r="I20" i="53" s="1"/>
  <c r="H73" i="53"/>
  <c r="H101" i="81"/>
  <c r="I18" i="53" s="1"/>
  <c r="H71" i="53"/>
  <c r="H105" i="81"/>
  <c r="I22" i="53" s="1"/>
  <c r="H75" i="53"/>
  <c r="H106" i="81"/>
  <c r="I23" i="53" s="1"/>
  <c r="I76" i="53" s="1"/>
  <c r="H23" i="53"/>
  <c r="H76" i="53" s="1"/>
  <c r="G62" i="81"/>
  <c r="F31" i="55"/>
  <c r="F88" i="55" s="1"/>
  <c r="G60" i="81"/>
  <c r="F29" i="55"/>
  <c r="F86" i="55" s="1"/>
  <c r="G52" i="81"/>
  <c r="F21" i="55"/>
  <c r="F78" i="55" s="1"/>
  <c r="G58" i="81"/>
  <c r="F27" i="55"/>
  <c r="F84" i="55" s="1"/>
  <c r="E159" i="72"/>
  <c r="E146" i="72"/>
  <c r="E148" i="72" s="1"/>
  <c r="G30" i="55"/>
  <c r="G87" i="55" s="1"/>
  <c r="H61" i="81"/>
  <c r="H30" i="55" s="1"/>
  <c r="H87" i="55" s="1"/>
  <c r="G119" i="53"/>
  <c r="G116" i="53"/>
  <c r="G114" i="53"/>
  <c r="E32" i="72"/>
  <c r="F161" i="72"/>
  <c r="Q57" i="22"/>
  <c r="Q58" i="22" s="1"/>
  <c r="O63" i="22"/>
  <c r="O64" i="22" s="1"/>
  <c r="N40" i="22"/>
  <c r="N41" i="22"/>
  <c r="H20" i="72" l="1"/>
  <c r="H44" i="72" s="1"/>
  <c r="N44" i="22"/>
  <c r="M69" i="22"/>
  <c r="H253" i="53"/>
  <c r="H254" i="53"/>
  <c r="J226" i="55"/>
  <c r="J208" i="55"/>
  <c r="F38" i="22"/>
  <c r="E69" i="22"/>
  <c r="G68" i="22"/>
  <c r="H40" i="22"/>
  <c r="J204" i="53"/>
  <c r="J137" i="53"/>
  <c r="J202" i="53"/>
  <c r="J135" i="53"/>
  <c r="J133" i="53"/>
  <c r="J200" i="53"/>
  <c r="J198" i="53"/>
  <c r="J131" i="53"/>
  <c r="J203" i="53"/>
  <c r="J136" i="53"/>
  <c r="J201" i="53"/>
  <c r="J134" i="53"/>
  <c r="J132" i="53"/>
  <c r="J199" i="53"/>
  <c r="J197" i="53"/>
  <c r="J130" i="53"/>
  <c r="I74" i="53"/>
  <c r="I71" i="53"/>
  <c r="I72" i="53"/>
  <c r="I75" i="53"/>
  <c r="I73" i="53"/>
  <c r="J173" i="53"/>
  <c r="J207" i="55"/>
  <c r="J174" i="53"/>
  <c r="F18" i="61"/>
  <c r="G9" i="61" s="1"/>
  <c r="H18" i="72"/>
  <c r="H42" i="72" s="1"/>
  <c r="H78" i="72" s="1"/>
  <c r="H16" i="72"/>
  <c r="H40" i="72" s="1"/>
  <c r="J155" i="72" s="1"/>
  <c r="H14" i="72"/>
  <c r="H38" i="72" s="1"/>
  <c r="H63" i="72" s="1"/>
  <c r="H19" i="72"/>
  <c r="H43" i="72" s="1"/>
  <c r="H45" i="84"/>
  <c r="J265" i="55"/>
  <c r="H152" i="55"/>
  <c r="J236" i="53"/>
  <c r="J169" i="53"/>
  <c r="I232" i="53"/>
  <c r="I165" i="53"/>
  <c r="H268" i="55"/>
  <c r="F155" i="55"/>
  <c r="H214" i="55" s="1"/>
  <c r="J233" i="53"/>
  <c r="J166" i="53"/>
  <c r="I264" i="55"/>
  <c r="G151" i="55"/>
  <c r="I210" i="55" s="1"/>
  <c r="I258" i="55"/>
  <c r="G145" i="55"/>
  <c r="I204" i="55" s="1"/>
  <c r="J164" i="84"/>
  <c r="H124" i="84"/>
  <c r="H141" i="84" s="1"/>
  <c r="H126" i="84"/>
  <c r="H143" i="84" s="1"/>
  <c r="H125" i="84"/>
  <c r="H142" i="84" s="1"/>
  <c r="J163" i="84"/>
  <c r="J167" i="84"/>
  <c r="J275" i="55"/>
  <c r="H165" i="55"/>
  <c r="I260" i="55"/>
  <c r="G147" i="55"/>
  <c r="I206" i="55" s="1"/>
  <c r="H267" i="55"/>
  <c r="F154" i="55"/>
  <c r="H213" i="55" s="1"/>
  <c r="F39" i="84"/>
  <c r="H269" i="55"/>
  <c r="F156" i="55"/>
  <c r="H215" i="55" s="1"/>
  <c r="H86" i="83"/>
  <c r="H25" i="84" s="1"/>
  <c r="H56" i="84" s="1"/>
  <c r="G25" i="84"/>
  <c r="G56" i="84" s="1"/>
  <c r="H266" i="55"/>
  <c r="F153" i="55"/>
  <c r="H212" i="55" s="1"/>
  <c r="G92" i="55"/>
  <c r="I171" i="53"/>
  <c r="I238" i="53"/>
  <c r="I263" i="55"/>
  <c r="G150" i="55"/>
  <c r="I209" i="55" s="1"/>
  <c r="I235" i="53"/>
  <c r="I168" i="53"/>
  <c r="H270" i="55"/>
  <c r="F157" i="55"/>
  <c r="H216" i="55" s="1"/>
  <c r="H272" i="55"/>
  <c r="F159" i="55"/>
  <c r="H218" i="55" s="1"/>
  <c r="I276" i="55"/>
  <c r="G166" i="55"/>
  <c r="I225" i="55" s="1"/>
  <c r="I234" i="53"/>
  <c r="I167" i="53"/>
  <c r="I233" i="53"/>
  <c r="I166" i="53"/>
  <c r="J230" i="53"/>
  <c r="J163" i="53"/>
  <c r="I167" i="84"/>
  <c r="I164" i="84"/>
  <c r="G125" i="84"/>
  <c r="G142" i="84" s="1"/>
  <c r="I155" i="84" s="1"/>
  <c r="I163" i="84"/>
  <c r="G126" i="84"/>
  <c r="G143" i="84" s="1"/>
  <c r="I156" i="84" s="1"/>
  <c r="G124" i="84"/>
  <c r="G141" i="84" s="1"/>
  <c r="H257" i="55"/>
  <c r="F144" i="55"/>
  <c r="H203" i="55" s="1"/>
  <c r="G165" i="84"/>
  <c r="G166" i="84"/>
  <c r="G28" i="84"/>
  <c r="G59" i="84" s="1"/>
  <c r="H89" i="83"/>
  <c r="H28" i="84" s="1"/>
  <c r="H59" i="84" s="1"/>
  <c r="H62" i="83"/>
  <c r="H51" i="55" s="1"/>
  <c r="H108" i="55" s="1"/>
  <c r="G51" i="55"/>
  <c r="G108" i="55" s="1"/>
  <c r="G24" i="84"/>
  <c r="G55" i="84" s="1"/>
  <c r="H85" i="83"/>
  <c r="H24" i="84" s="1"/>
  <c r="H55" i="84" s="1"/>
  <c r="I237" i="53"/>
  <c r="I170" i="53"/>
  <c r="J264" i="55"/>
  <c r="H151" i="55"/>
  <c r="J210" i="55" s="1"/>
  <c r="J258" i="55"/>
  <c r="H145" i="55"/>
  <c r="E13" i="21"/>
  <c r="H39" i="61"/>
  <c r="H274" i="55"/>
  <c r="F161" i="55"/>
  <c r="H220" i="55" s="1"/>
  <c r="J231" i="53"/>
  <c r="J164" i="53"/>
  <c r="I275" i="55"/>
  <c r="G165" i="55"/>
  <c r="I224" i="55" s="1"/>
  <c r="J260" i="55"/>
  <c r="H147" i="55"/>
  <c r="J206" i="55" s="1"/>
  <c r="G45" i="55"/>
  <c r="G102" i="55" s="1"/>
  <c r="H56" i="83"/>
  <c r="H45" i="55" s="1"/>
  <c r="H102" i="55" s="1"/>
  <c r="F165" i="84"/>
  <c r="F166" i="84"/>
  <c r="H58" i="83"/>
  <c r="H47" i="55" s="1"/>
  <c r="H104" i="55" s="1"/>
  <c r="G47" i="55"/>
  <c r="G104" i="55" s="1"/>
  <c r="H154" i="84"/>
  <c r="H159" i="84" s="1"/>
  <c r="H168" i="84"/>
  <c r="H169" i="84"/>
  <c r="H55" i="83"/>
  <c r="H44" i="55" s="1"/>
  <c r="H101" i="55" s="1"/>
  <c r="G44" i="55"/>
  <c r="G101" i="55" s="1"/>
  <c r="G30" i="84"/>
  <c r="G61" i="84" s="1"/>
  <c r="H91" i="83"/>
  <c r="H30" i="84" s="1"/>
  <c r="H61" i="84" s="1"/>
  <c r="H92" i="55"/>
  <c r="G26" i="84"/>
  <c r="G57" i="84" s="1"/>
  <c r="H87" i="83"/>
  <c r="H26" i="84" s="1"/>
  <c r="H57" i="84" s="1"/>
  <c r="J238" i="53"/>
  <c r="J171" i="53"/>
  <c r="J263" i="55"/>
  <c r="H150" i="55"/>
  <c r="J235" i="53"/>
  <c r="J168" i="53"/>
  <c r="H59" i="83"/>
  <c r="H48" i="55" s="1"/>
  <c r="H105" i="55" s="1"/>
  <c r="G48" i="55"/>
  <c r="G105" i="55" s="1"/>
  <c r="H61" i="83"/>
  <c r="H50" i="55" s="1"/>
  <c r="H107" i="55" s="1"/>
  <c r="G50" i="55"/>
  <c r="G107" i="55" s="1"/>
  <c r="J276" i="55"/>
  <c r="H166" i="55"/>
  <c r="J234" i="53"/>
  <c r="J167" i="53"/>
  <c r="I259" i="55"/>
  <c r="G146" i="55"/>
  <c r="I205" i="55" s="1"/>
  <c r="H83" i="83"/>
  <c r="H22" i="84" s="1"/>
  <c r="H53" i="84" s="1"/>
  <c r="G22" i="84"/>
  <c r="G53" i="84" s="1"/>
  <c r="G49" i="55"/>
  <c r="G106" i="55" s="1"/>
  <c r="H60" i="83"/>
  <c r="H49" i="55" s="1"/>
  <c r="H106" i="55" s="1"/>
  <c r="Q59" i="22"/>
  <c r="R56" i="22" s="1"/>
  <c r="R57" i="22" s="1"/>
  <c r="R59" i="22" s="1"/>
  <c r="J172" i="53"/>
  <c r="J170" i="53"/>
  <c r="J237" i="53"/>
  <c r="J259" i="55"/>
  <c r="H146" i="55"/>
  <c r="G45" i="84"/>
  <c r="I230" i="53"/>
  <c r="I163" i="53"/>
  <c r="I265" i="55"/>
  <c r="G152" i="55"/>
  <c r="I211" i="55" s="1"/>
  <c r="H63" i="83"/>
  <c r="H52" i="55" s="1"/>
  <c r="H109" i="55" s="1"/>
  <c r="G52" i="55"/>
  <c r="G109" i="55" s="1"/>
  <c r="I164" i="53"/>
  <c r="I231" i="53"/>
  <c r="H90" i="83"/>
  <c r="H29" i="84" s="1"/>
  <c r="H60" i="84" s="1"/>
  <c r="G29" i="84"/>
  <c r="G60" i="84" s="1"/>
  <c r="F61" i="55"/>
  <c r="E173" i="29"/>
  <c r="E158" i="29"/>
  <c r="E37" i="29"/>
  <c r="E143" i="29"/>
  <c r="E128" i="29"/>
  <c r="H273" i="55"/>
  <c r="F160" i="55"/>
  <c r="H219" i="55" s="1"/>
  <c r="I236" i="53"/>
  <c r="I169" i="53"/>
  <c r="H88" i="83"/>
  <c r="H27" i="84" s="1"/>
  <c r="H58" i="84" s="1"/>
  <c r="G27" i="84"/>
  <c r="G58" i="84" s="1"/>
  <c r="H271" i="55"/>
  <c r="F158" i="55"/>
  <c r="H217" i="55" s="1"/>
  <c r="H84" i="83"/>
  <c r="H23" i="84" s="1"/>
  <c r="H54" i="84" s="1"/>
  <c r="G23" i="84"/>
  <c r="G54" i="84" s="1"/>
  <c r="J232" i="53"/>
  <c r="J165" i="53"/>
  <c r="J227" i="55"/>
  <c r="H57" i="83"/>
  <c r="H46" i="55" s="1"/>
  <c r="H103" i="55" s="1"/>
  <c r="G46" i="55"/>
  <c r="G103" i="55" s="1"/>
  <c r="F260" i="53"/>
  <c r="H15" i="61"/>
  <c r="G260" i="53" s="1"/>
  <c r="F16" i="61"/>
  <c r="E290" i="55" s="1"/>
  <c r="G191" i="53"/>
  <c r="H34" i="61" s="1"/>
  <c r="I252" i="55"/>
  <c r="G139" i="55"/>
  <c r="I197" i="55" s="1"/>
  <c r="H52" i="81"/>
  <c r="H21" i="55" s="1"/>
  <c r="H78" i="55" s="1"/>
  <c r="G21" i="55"/>
  <c r="G78" i="55" s="1"/>
  <c r="H60" i="81"/>
  <c r="H29" i="55" s="1"/>
  <c r="H86" i="55" s="1"/>
  <c r="G29" i="55"/>
  <c r="G86" i="55" s="1"/>
  <c r="J211" i="53"/>
  <c r="J144" i="53"/>
  <c r="J213" i="53"/>
  <c r="J146" i="53"/>
  <c r="J215" i="53"/>
  <c r="J148" i="53"/>
  <c r="H56" i="81"/>
  <c r="H25" i="55" s="1"/>
  <c r="H82" i="55" s="1"/>
  <c r="G25" i="55"/>
  <c r="G82" i="55" s="1"/>
  <c r="H244" i="55"/>
  <c r="F131" i="55"/>
  <c r="H189" i="55" s="1"/>
  <c r="G284" i="55"/>
  <c r="G178" i="55"/>
  <c r="G285" i="55"/>
  <c r="G28" i="55"/>
  <c r="G85" i="55" s="1"/>
  <c r="H59" i="81"/>
  <c r="H28" i="55" s="1"/>
  <c r="H85" i="55" s="1"/>
  <c r="H242" i="55"/>
  <c r="F129" i="55"/>
  <c r="H187" i="55" s="1"/>
  <c r="H245" i="53"/>
  <c r="H182" i="53"/>
  <c r="H251" i="53"/>
  <c r="H188" i="53"/>
  <c r="J252" i="55"/>
  <c r="H139" i="55"/>
  <c r="F37" i="61"/>
  <c r="C9" i="21"/>
  <c r="F136" i="55"/>
  <c r="H194" i="55" s="1"/>
  <c r="H249" i="55"/>
  <c r="F130" i="55"/>
  <c r="H188" i="55" s="1"/>
  <c r="H243" i="55"/>
  <c r="F138" i="55"/>
  <c r="H196" i="55" s="1"/>
  <c r="H251" i="55"/>
  <c r="F140" i="55"/>
  <c r="H198" i="55" s="1"/>
  <c r="H253" i="55"/>
  <c r="I211" i="53"/>
  <c r="I144" i="53"/>
  <c r="I210" i="53"/>
  <c r="I143" i="53"/>
  <c r="I206" i="53"/>
  <c r="I139" i="53"/>
  <c r="I208" i="53"/>
  <c r="I141" i="53"/>
  <c r="I213" i="53"/>
  <c r="I146" i="53"/>
  <c r="I212" i="53"/>
  <c r="I145" i="53"/>
  <c r="I207" i="53"/>
  <c r="I140" i="53"/>
  <c r="I215" i="53"/>
  <c r="I148" i="53"/>
  <c r="G128" i="55"/>
  <c r="I186" i="55" s="1"/>
  <c r="I241" i="55"/>
  <c r="F134" i="55"/>
  <c r="H192" i="55" s="1"/>
  <c r="H247" i="55"/>
  <c r="H53" i="81"/>
  <c r="H22" i="55" s="1"/>
  <c r="H79" i="55" s="1"/>
  <c r="G22" i="55"/>
  <c r="G79" i="55" s="1"/>
  <c r="H83" i="81"/>
  <c r="H29" i="72" s="1"/>
  <c r="H53" i="72" s="1"/>
  <c r="G29" i="72"/>
  <c r="G53" i="72" s="1"/>
  <c r="I155" i="72"/>
  <c r="G70" i="72"/>
  <c r="I142" i="72" s="1"/>
  <c r="G71" i="72"/>
  <c r="I153" i="72"/>
  <c r="G63" i="72"/>
  <c r="G64" i="72"/>
  <c r="H250" i="55"/>
  <c r="F137" i="55"/>
  <c r="H195" i="55" s="1"/>
  <c r="F159" i="72"/>
  <c r="F146" i="72"/>
  <c r="F148" i="72" s="1"/>
  <c r="F158" i="72"/>
  <c r="F157" i="72"/>
  <c r="F282" i="55"/>
  <c r="F283" i="55"/>
  <c r="H51" i="81"/>
  <c r="H20" i="55" s="1"/>
  <c r="H77" i="55" s="1"/>
  <c r="G20" i="55"/>
  <c r="G77" i="55" s="1"/>
  <c r="H141" i="72"/>
  <c r="I209" i="53"/>
  <c r="I142" i="53"/>
  <c r="I217" i="53"/>
  <c r="I150" i="53"/>
  <c r="H76" i="81"/>
  <c r="G46" i="72"/>
  <c r="I234" i="55"/>
  <c r="G121" i="55"/>
  <c r="I179" i="55" s="1"/>
  <c r="G124" i="55"/>
  <c r="I182" i="55" s="1"/>
  <c r="I237" i="55"/>
  <c r="C8" i="21"/>
  <c r="F36" i="61"/>
  <c r="E65" i="55"/>
  <c r="G200" i="55" s="1"/>
  <c r="H250" i="53"/>
  <c r="H187" i="53"/>
  <c r="C22" i="21"/>
  <c r="C62" i="21" s="1"/>
  <c r="F47" i="61"/>
  <c r="E274" i="53"/>
  <c r="E276" i="53" s="1"/>
  <c r="H82" i="81"/>
  <c r="H28" i="72" s="1"/>
  <c r="H52" i="72" s="1"/>
  <c r="G28" i="72"/>
  <c r="G52" i="72" s="1"/>
  <c r="H84" i="81"/>
  <c r="H30" i="72" s="1"/>
  <c r="H54" i="72" s="1"/>
  <c r="G30" i="72"/>
  <c r="G54" i="72" s="1"/>
  <c r="J240" i="55"/>
  <c r="H127" i="55"/>
  <c r="J236" i="55"/>
  <c r="H123" i="55"/>
  <c r="H80" i="81"/>
  <c r="G50" i="72"/>
  <c r="G26" i="55"/>
  <c r="G83" i="55" s="1"/>
  <c r="H57" i="81"/>
  <c r="H26" i="55" s="1"/>
  <c r="H83" i="55" s="1"/>
  <c r="H79" i="81"/>
  <c r="H25" i="72" s="1"/>
  <c r="H49" i="72" s="1"/>
  <c r="G25" i="72"/>
  <c r="G49" i="72" s="1"/>
  <c r="H77" i="81"/>
  <c r="G47" i="72"/>
  <c r="G24" i="55"/>
  <c r="G81" i="55" s="1"/>
  <c r="H55" i="81"/>
  <c r="H24" i="55" s="1"/>
  <c r="H81" i="55" s="1"/>
  <c r="H78" i="81"/>
  <c r="G48" i="72"/>
  <c r="H37" i="72"/>
  <c r="F120" i="55"/>
  <c r="H233" i="55"/>
  <c r="I216" i="53"/>
  <c r="I149" i="53"/>
  <c r="H81" i="81"/>
  <c r="H27" i="72" s="1"/>
  <c r="H51" i="72" s="1"/>
  <c r="G27" i="72"/>
  <c r="G51" i="72" s="1"/>
  <c r="I238" i="55"/>
  <c r="G125" i="55"/>
  <c r="I183" i="55" s="1"/>
  <c r="G126" i="55"/>
  <c r="I184" i="55" s="1"/>
  <c r="I239" i="55"/>
  <c r="G122" i="55"/>
  <c r="I180" i="55" s="1"/>
  <c r="I235" i="55"/>
  <c r="G68" i="55"/>
  <c r="F132" i="55"/>
  <c r="H190" i="55" s="1"/>
  <c r="H245" i="55"/>
  <c r="G259" i="53"/>
  <c r="F229" i="55"/>
  <c r="G144" i="72"/>
  <c r="G161" i="72"/>
  <c r="H119" i="53"/>
  <c r="H116" i="53"/>
  <c r="H114" i="53"/>
  <c r="E12" i="72"/>
  <c r="E35" i="72"/>
  <c r="G156" i="72"/>
  <c r="H247" i="53"/>
  <c r="H184" i="53"/>
  <c r="H58" i="81"/>
  <c r="H27" i="55" s="1"/>
  <c r="H84" i="55" s="1"/>
  <c r="G27" i="55"/>
  <c r="G84" i="55" s="1"/>
  <c r="H62" i="81"/>
  <c r="H31" i="55" s="1"/>
  <c r="H88" i="55" s="1"/>
  <c r="G31" i="55"/>
  <c r="G88" i="55" s="1"/>
  <c r="J212" i="53"/>
  <c r="J145" i="53"/>
  <c r="J241" i="55"/>
  <c r="H128" i="55"/>
  <c r="C124" i="29"/>
  <c r="C130" i="29" s="1"/>
  <c r="C33" i="29"/>
  <c r="C39" i="29" s="1"/>
  <c r="C169" i="29"/>
  <c r="C175" i="29" s="1"/>
  <c r="C154" i="29"/>
  <c r="C160" i="29" s="1"/>
  <c r="C139" i="29"/>
  <c r="C145" i="29" s="1"/>
  <c r="J217" i="53"/>
  <c r="J150" i="53"/>
  <c r="J234" i="55"/>
  <c r="H121" i="55"/>
  <c r="J237" i="55"/>
  <c r="H124" i="55"/>
  <c r="D175" i="84"/>
  <c r="D177" i="84" s="1"/>
  <c r="D167" i="72"/>
  <c r="D169" i="72" s="1"/>
  <c r="B19" i="21" s="1"/>
  <c r="F8" i="61"/>
  <c r="H246" i="53"/>
  <c r="H183" i="53"/>
  <c r="D12" i="21"/>
  <c r="G34" i="61"/>
  <c r="F7" i="61"/>
  <c r="D290" i="55"/>
  <c r="D292" i="55" s="1"/>
  <c r="E21" i="61"/>
  <c r="I240" i="55"/>
  <c r="G127" i="55"/>
  <c r="I185" i="55" s="1"/>
  <c r="I236" i="55"/>
  <c r="G123" i="55"/>
  <c r="I181" i="55" s="1"/>
  <c r="H248" i="55"/>
  <c r="F135" i="55"/>
  <c r="H193" i="55" s="1"/>
  <c r="H85" i="81"/>
  <c r="H31" i="72" s="1"/>
  <c r="H55" i="72" s="1"/>
  <c r="G31" i="72"/>
  <c r="G55" i="72" s="1"/>
  <c r="H140" i="72"/>
  <c r="F259" i="53"/>
  <c r="H152" i="72"/>
  <c r="F95" i="72"/>
  <c r="H139" i="72" s="1"/>
  <c r="F96" i="72"/>
  <c r="I154" i="72"/>
  <c r="G78" i="72"/>
  <c r="G79" i="72"/>
  <c r="H246" i="55"/>
  <c r="F133" i="55"/>
  <c r="H191" i="55" s="1"/>
  <c r="G37" i="72"/>
  <c r="J216" i="53"/>
  <c r="J149" i="53"/>
  <c r="J238" i="55"/>
  <c r="H125" i="55"/>
  <c r="J239" i="55"/>
  <c r="H126" i="55"/>
  <c r="J235" i="55"/>
  <c r="H122" i="55"/>
  <c r="H68" i="55"/>
  <c r="H54" i="81"/>
  <c r="H23" i="55" s="1"/>
  <c r="H80" i="55" s="1"/>
  <c r="G23" i="55"/>
  <c r="G80" i="55" s="1"/>
  <c r="D157" i="29"/>
  <c r="D142" i="29"/>
  <c r="D127" i="29"/>
  <c r="D36" i="29"/>
  <c r="D172" i="29"/>
  <c r="F17" i="61"/>
  <c r="G160" i="72"/>
  <c r="F33" i="55"/>
  <c r="F10" i="55" s="1"/>
  <c r="H118" i="53"/>
  <c r="H115" i="53"/>
  <c r="F32" i="72"/>
  <c r="O65" i="22"/>
  <c r="P62" i="22" s="1"/>
  <c r="O38" i="22"/>
  <c r="E42" i="61" l="1"/>
  <c r="E44" i="61" s="1"/>
  <c r="B10" i="69"/>
  <c r="J225" i="55"/>
  <c r="J209" i="55"/>
  <c r="I254" i="53"/>
  <c r="N45" i="22"/>
  <c r="N66" i="22"/>
  <c r="I253" i="53"/>
  <c r="F41" i="22"/>
  <c r="F66" i="22"/>
  <c r="E13" i="69" s="1"/>
  <c r="E15" i="69" s="1"/>
  <c r="H68" i="22"/>
  <c r="I40" i="22"/>
  <c r="I68" i="22" s="1"/>
  <c r="J210" i="53"/>
  <c r="J143" i="53"/>
  <c r="J207" i="53"/>
  <c r="J140" i="53"/>
  <c r="I118" i="53"/>
  <c r="J250" i="53" s="1"/>
  <c r="I115" i="53"/>
  <c r="J183" i="53" s="1"/>
  <c r="J206" i="53"/>
  <c r="I119" i="53"/>
  <c r="J188" i="53" s="1"/>
  <c r="J139" i="53"/>
  <c r="I114" i="53"/>
  <c r="J245" i="53" s="1"/>
  <c r="I116" i="53"/>
  <c r="J184" i="53" s="1"/>
  <c r="J208" i="53"/>
  <c r="J141" i="53"/>
  <c r="J209" i="53"/>
  <c r="J142" i="53"/>
  <c r="R58" i="22"/>
  <c r="J224" i="55"/>
  <c r="J155" i="84"/>
  <c r="G39" i="84"/>
  <c r="G42" i="84" s="1"/>
  <c r="J182" i="55"/>
  <c r="H79" i="72"/>
  <c r="J153" i="72"/>
  <c r="J154" i="72"/>
  <c r="H64" i="72"/>
  <c r="H70" i="72"/>
  <c r="J142" i="72" s="1"/>
  <c r="H23" i="72"/>
  <c r="H47" i="72" s="1"/>
  <c r="H95" i="72" s="1"/>
  <c r="H26" i="72"/>
  <c r="H50" i="72" s="1"/>
  <c r="H24" i="72"/>
  <c r="H48" i="72" s="1"/>
  <c r="H22" i="72"/>
  <c r="H46" i="72" s="1"/>
  <c r="H71" i="72"/>
  <c r="I6" i="61"/>
  <c r="H259" i="53" s="1"/>
  <c r="J180" i="55"/>
  <c r="J183" i="55"/>
  <c r="J186" i="55"/>
  <c r="G32" i="72"/>
  <c r="I156" i="72" s="1"/>
  <c r="J197" i="55"/>
  <c r="G7" i="61"/>
  <c r="F289" i="55" s="1"/>
  <c r="F21" i="61"/>
  <c r="F41" i="61"/>
  <c r="C9" i="69" s="1"/>
  <c r="I270" i="55"/>
  <c r="G157" i="55"/>
  <c r="I216" i="55" s="1"/>
  <c r="J273" i="55"/>
  <c r="H160" i="55"/>
  <c r="J211" i="55"/>
  <c r="J184" i="55"/>
  <c r="F262" i="53"/>
  <c r="D22" i="21" s="1"/>
  <c r="D62" i="21" s="1"/>
  <c r="J179" i="55"/>
  <c r="G262" i="53"/>
  <c r="E22" i="21" s="1"/>
  <c r="I268" i="55"/>
  <c r="G155" i="55"/>
  <c r="I214" i="55" s="1"/>
  <c r="I271" i="55"/>
  <c r="G158" i="55"/>
  <c r="I217" i="55" s="1"/>
  <c r="J270" i="55"/>
  <c r="H157" i="55"/>
  <c r="G18" i="61"/>
  <c r="H9" i="61" s="1"/>
  <c r="J156" i="84"/>
  <c r="I267" i="55"/>
  <c r="G154" i="55"/>
  <c r="I213" i="55" s="1"/>
  <c r="E12" i="21"/>
  <c r="J268" i="55"/>
  <c r="H155" i="55"/>
  <c r="I274" i="55"/>
  <c r="G161" i="55"/>
  <c r="I220" i="55" s="1"/>
  <c r="J205" i="55"/>
  <c r="I272" i="55"/>
  <c r="G159" i="55"/>
  <c r="I218" i="55" s="1"/>
  <c r="H61" i="55"/>
  <c r="I266" i="55"/>
  <c r="G153" i="55"/>
  <c r="I212" i="55" s="1"/>
  <c r="I39" i="61"/>
  <c r="F13" i="21"/>
  <c r="F128" i="29"/>
  <c r="F158" i="29"/>
  <c r="F173" i="29"/>
  <c r="F37" i="29"/>
  <c r="F143" i="29"/>
  <c r="J154" i="84"/>
  <c r="J168" i="84"/>
  <c r="J169" i="84"/>
  <c r="H39" i="84"/>
  <c r="J271" i="55"/>
  <c r="H158" i="55"/>
  <c r="J269" i="55"/>
  <c r="H156" i="55"/>
  <c r="I257" i="55"/>
  <c r="G144" i="55"/>
  <c r="I203" i="55" s="1"/>
  <c r="J274" i="55"/>
  <c r="H161" i="55"/>
  <c r="J272" i="55"/>
  <c r="H159" i="55"/>
  <c r="J218" i="55" s="1"/>
  <c r="J257" i="55"/>
  <c r="H144" i="55"/>
  <c r="J266" i="55"/>
  <c r="H153" i="55"/>
  <c r="I269" i="55"/>
  <c r="G156" i="55"/>
  <c r="I215" i="55" s="1"/>
  <c r="J267" i="55"/>
  <c r="H154" i="55"/>
  <c r="J213" i="55" s="1"/>
  <c r="J204" i="55"/>
  <c r="I273" i="55"/>
  <c r="G160" i="55"/>
  <c r="I219" i="55" s="1"/>
  <c r="H18" i="61"/>
  <c r="I9" i="61" s="1"/>
  <c r="I154" i="84"/>
  <c r="I159" i="84" s="1"/>
  <c r="I169" i="84"/>
  <c r="I168" i="84"/>
  <c r="G61" i="55"/>
  <c r="F12" i="84"/>
  <c r="F42" i="84"/>
  <c r="G16" i="61"/>
  <c r="F290" i="55" s="1"/>
  <c r="G17" i="61"/>
  <c r="F175" i="84" s="1"/>
  <c r="H156" i="72"/>
  <c r="F35" i="72"/>
  <c r="F12" i="72"/>
  <c r="B18" i="21"/>
  <c r="E49" i="61"/>
  <c r="D302" i="55"/>
  <c r="D305" i="55" s="1"/>
  <c r="E157" i="29"/>
  <c r="E142" i="29"/>
  <c r="E127" i="29"/>
  <c r="E172" i="29"/>
  <c r="E36" i="29"/>
  <c r="J246" i="53"/>
  <c r="I250" i="53"/>
  <c r="I187" i="53"/>
  <c r="F65" i="55"/>
  <c r="H200" i="55" s="1"/>
  <c r="G132" i="55"/>
  <c r="I190" i="55" s="1"/>
  <c r="I245" i="55"/>
  <c r="J233" i="55"/>
  <c r="H120" i="55"/>
  <c r="E289" i="55"/>
  <c r="E292" i="55" s="1"/>
  <c r="F12" i="61"/>
  <c r="E166" i="72"/>
  <c r="E174" i="84"/>
  <c r="E52" i="61"/>
  <c r="B23" i="21"/>
  <c r="D186" i="84"/>
  <c r="D188" i="84" s="1"/>
  <c r="G140" i="55"/>
  <c r="I198" i="55" s="1"/>
  <c r="I253" i="55"/>
  <c r="G136" i="55"/>
  <c r="I194" i="55" s="1"/>
  <c r="I249" i="55"/>
  <c r="G157" i="72"/>
  <c r="G158" i="72"/>
  <c r="I247" i="53"/>
  <c r="I184" i="53"/>
  <c r="D8" i="21"/>
  <c r="G36" i="61"/>
  <c r="G120" i="55"/>
  <c r="I233" i="55"/>
  <c r="H284" i="55"/>
  <c r="H285" i="55"/>
  <c r="H178" i="55"/>
  <c r="I246" i="55"/>
  <c r="G133" i="55"/>
  <c r="I191" i="55" s="1"/>
  <c r="J141" i="72"/>
  <c r="I152" i="72"/>
  <c r="G95" i="72"/>
  <c r="I139" i="72" s="1"/>
  <c r="G96" i="72"/>
  <c r="J248" i="55"/>
  <c r="H135" i="55"/>
  <c r="G282" i="55"/>
  <c r="G283" i="55"/>
  <c r="D153" i="29"/>
  <c r="D138" i="29"/>
  <c r="D123" i="29"/>
  <c r="D32" i="29"/>
  <c r="D168" i="29"/>
  <c r="C15" i="21"/>
  <c r="D6" i="68" s="1"/>
  <c r="I242" i="55"/>
  <c r="G129" i="55"/>
  <c r="I187" i="55" s="1"/>
  <c r="G37" i="61"/>
  <c r="D9" i="21"/>
  <c r="I244" i="55"/>
  <c r="G131" i="55"/>
  <c r="I189" i="55" s="1"/>
  <c r="D169" i="29"/>
  <c r="D154" i="29"/>
  <c r="D139" i="29"/>
  <c r="D124" i="29"/>
  <c r="D33" i="29"/>
  <c r="J250" i="55"/>
  <c r="H137" i="55"/>
  <c r="J140" i="72"/>
  <c r="H134" i="55"/>
  <c r="J247" i="55"/>
  <c r="H138" i="55"/>
  <c r="J251" i="55"/>
  <c r="J243" i="55"/>
  <c r="H130" i="55"/>
  <c r="H33" i="55"/>
  <c r="H10" i="55" s="1"/>
  <c r="H144" i="72"/>
  <c r="J181" i="55"/>
  <c r="J185" i="55"/>
  <c r="H161" i="72"/>
  <c r="H191" i="53"/>
  <c r="I246" i="53"/>
  <c r="I183" i="53"/>
  <c r="G8" i="61"/>
  <c r="E167" i="72"/>
  <c r="E175" i="84"/>
  <c r="H132" i="55"/>
  <c r="J245" i="55"/>
  <c r="I141" i="72"/>
  <c r="E50" i="61"/>
  <c r="D178" i="72"/>
  <c r="D180" i="72" s="1"/>
  <c r="H140" i="55"/>
  <c r="J253" i="55"/>
  <c r="H136" i="55"/>
  <c r="J249" i="55"/>
  <c r="G159" i="72"/>
  <c r="G146" i="72"/>
  <c r="G148" i="72" s="1"/>
  <c r="I245" i="53"/>
  <c r="I182" i="53"/>
  <c r="I251" i="53"/>
  <c r="I188" i="53"/>
  <c r="J246" i="55"/>
  <c r="H133" i="55"/>
  <c r="I248" i="55"/>
  <c r="G135" i="55"/>
  <c r="I193" i="55" s="1"/>
  <c r="J242" i="55"/>
  <c r="H129" i="55"/>
  <c r="I140" i="72"/>
  <c r="J244" i="55"/>
  <c r="H131" i="55"/>
  <c r="I250" i="55"/>
  <c r="G137" i="55"/>
  <c r="I195" i="55" s="1"/>
  <c r="G134" i="55"/>
  <c r="I192" i="55" s="1"/>
  <c r="I247" i="55"/>
  <c r="G138" i="55"/>
  <c r="I196" i="55" s="1"/>
  <c r="I251" i="55"/>
  <c r="G130" i="55"/>
  <c r="I188" i="55" s="1"/>
  <c r="I243" i="55"/>
  <c r="G33" i="55"/>
  <c r="G10" i="55" s="1"/>
  <c r="H160" i="72"/>
  <c r="I15" i="61"/>
  <c r="G229" i="55"/>
  <c r="P63" i="22"/>
  <c r="P64" i="22" s="1"/>
  <c r="O39" i="22"/>
  <c r="O41" i="22" s="1"/>
  <c r="F42" i="61" l="1"/>
  <c r="F44" i="61" s="1"/>
  <c r="C10" i="69"/>
  <c r="N46" i="22"/>
  <c r="N68" i="22" s="1"/>
  <c r="N67" i="22"/>
  <c r="E98" i="22" s="1"/>
  <c r="N47" i="22"/>
  <c r="J187" i="53"/>
  <c r="J253" i="53"/>
  <c r="G12" i="84"/>
  <c r="I165" i="84" s="1"/>
  <c r="J220" i="55"/>
  <c r="J247" i="53"/>
  <c r="J254" i="53"/>
  <c r="J251" i="53"/>
  <c r="J159" i="84"/>
  <c r="J182" i="53"/>
  <c r="J191" i="53" s="1"/>
  <c r="K34" i="61" s="1"/>
  <c r="G38" i="22"/>
  <c r="F69" i="22"/>
  <c r="H47" i="61"/>
  <c r="F157" i="29"/>
  <c r="E62" i="21"/>
  <c r="J214" i="55"/>
  <c r="J203" i="55"/>
  <c r="H32" i="72"/>
  <c r="H12" i="72" s="1"/>
  <c r="J152" i="72"/>
  <c r="H96" i="72"/>
  <c r="J194" i="55"/>
  <c r="J198" i="55"/>
  <c r="J139" i="72"/>
  <c r="H7" i="61"/>
  <c r="G289" i="55" s="1"/>
  <c r="G35" i="72"/>
  <c r="I146" i="72" s="1"/>
  <c r="I160" i="72"/>
  <c r="G12" i="72"/>
  <c r="I158" i="72" s="1"/>
  <c r="I144" i="72"/>
  <c r="I161" i="72"/>
  <c r="G274" i="53"/>
  <c r="G276" i="53" s="1"/>
  <c r="F36" i="29"/>
  <c r="F142" i="29"/>
  <c r="F292" i="55"/>
  <c r="D18" i="21" s="1"/>
  <c r="F274" i="53"/>
  <c r="F276" i="53" s="1"/>
  <c r="G47" i="61"/>
  <c r="G21" i="61"/>
  <c r="H229" i="55"/>
  <c r="F8" i="21" s="1"/>
  <c r="F127" i="29"/>
  <c r="H8" i="61"/>
  <c r="G174" i="84" s="1"/>
  <c r="F172" i="29"/>
  <c r="H165" i="84"/>
  <c r="H166" i="84"/>
  <c r="G13" i="21"/>
  <c r="J39" i="61"/>
  <c r="J215" i="55"/>
  <c r="H12" i="84"/>
  <c r="H42" i="84"/>
  <c r="J190" i="55"/>
  <c r="J212" i="55"/>
  <c r="G143" i="29"/>
  <c r="G128" i="29"/>
  <c r="G37" i="29"/>
  <c r="G173" i="29"/>
  <c r="G158" i="29"/>
  <c r="J219" i="55"/>
  <c r="K39" i="61"/>
  <c r="H13" i="21"/>
  <c r="J191" i="55"/>
  <c r="J189" i="55"/>
  <c r="J187" i="55"/>
  <c r="J217" i="55"/>
  <c r="J216" i="55"/>
  <c r="I166" i="84"/>
  <c r="F167" i="72"/>
  <c r="D39" i="29"/>
  <c r="D145" i="29"/>
  <c r="G41" i="61"/>
  <c r="D9" i="69" s="1"/>
  <c r="I191" i="53"/>
  <c r="G12" i="21" s="1"/>
  <c r="H37" i="61"/>
  <c r="E9" i="21"/>
  <c r="J6" i="61"/>
  <c r="H260" i="53"/>
  <c r="H262" i="53" s="1"/>
  <c r="E8" i="21"/>
  <c r="H36" i="61"/>
  <c r="G65" i="55"/>
  <c r="I200" i="55" s="1"/>
  <c r="F166" i="72"/>
  <c r="F174" i="84"/>
  <c r="F177" i="84" s="1"/>
  <c r="E153" i="29"/>
  <c r="E138" i="29"/>
  <c r="E123" i="29"/>
  <c r="D15" i="21"/>
  <c r="E6" i="68" s="1"/>
  <c r="E168" i="29"/>
  <c r="E32" i="29"/>
  <c r="J284" i="55"/>
  <c r="J285" i="55"/>
  <c r="J178" i="55"/>
  <c r="H159" i="72"/>
  <c r="H146" i="72"/>
  <c r="H148" i="72" s="1"/>
  <c r="J15" i="61"/>
  <c r="G12" i="61"/>
  <c r="J188" i="55"/>
  <c r="J144" i="72"/>
  <c r="J195" i="55"/>
  <c r="D175" i="29"/>
  <c r="D130" i="29"/>
  <c r="D160" i="29"/>
  <c r="H16" i="61"/>
  <c r="J160" i="72"/>
  <c r="E177" i="84"/>
  <c r="E54" i="61"/>
  <c r="F12" i="21"/>
  <c r="I34" i="61"/>
  <c r="H65" i="55"/>
  <c r="J200" i="55" s="1"/>
  <c r="E33" i="29"/>
  <c r="E169" i="29"/>
  <c r="E154" i="29"/>
  <c r="E139" i="29"/>
  <c r="E124" i="29"/>
  <c r="I284" i="55"/>
  <c r="I178" i="55"/>
  <c r="I285" i="55"/>
  <c r="C18" i="21"/>
  <c r="F49" i="61"/>
  <c r="E302" i="55"/>
  <c r="E305" i="55" s="1"/>
  <c r="H282" i="55"/>
  <c r="H283" i="55"/>
  <c r="H157" i="72"/>
  <c r="H158" i="72"/>
  <c r="J196" i="55"/>
  <c r="J192" i="55"/>
  <c r="J193" i="55"/>
  <c r="J161" i="72"/>
  <c r="H17" i="61"/>
  <c r="E169" i="72"/>
  <c r="B25" i="21"/>
  <c r="P65" i="22"/>
  <c r="Q62" i="22" s="1"/>
  <c r="P38" i="22"/>
  <c r="O40" i="22"/>
  <c r="G42" i="61" l="1"/>
  <c r="G44" i="61" s="1"/>
  <c r="D10" i="69"/>
  <c r="E55" i="61"/>
  <c r="C11" i="68" s="1"/>
  <c r="C27" i="68" s="1"/>
  <c r="C28" i="68" s="1"/>
  <c r="B25" i="69"/>
  <c r="K15" i="61"/>
  <c r="J260" i="53" s="1"/>
  <c r="G49" i="61"/>
  <c r="O44" i="22"/>
  <c r="N69" i="22"/>
  <c r="I18" i="61"/>
  <c r="J9" i="61" s="1"/>
  <c r="G41" i="22"/>
  <c r="G66" i="22"/>
  <c r="F13" i="69" s="1"/>
  <c r="F15" i="69" s="1"/>
  <c r="J156" i="72"/>
  <c r="H35" i="72"/>
  <c r="J146" i="72" s="1"/>
  <c r="J148" i="72" s="1"/>
  <c r="I159" i="72"/>
  <c r="I157" i="72"/>
  <c r="I148" i="72"/>
  <c r="G9" i="21" s="1"/>
  <c r="G166" i="72"/>
  <c r="H12" i="61"/>
  <c r="F302" i="55"/>
  <c r="F305" i="55" s="1"/>
  <c r="H12" i="21"/>
  <c r="I229" i="55"/>
  <c r="G8" i="21" s="1"/>
  <c r="I36" i="61"/>
  <c r="J34" i="61"/>
  <c r="F169" i="72"/>
  <c r="G50" i="61" s="1"/>
  <c r="H158" i="29"/>
  <c r="H173" i="29"/>
  <c r="H143" i="29"/>
  <c r="H128" i="29"/>
  <c r="H37" i="29"/>
  <c r="I173" i="29"/>
  <c r="I158" i="29"/>
  <c r="I37" i="29"/>
  <c r="I143" i="29"/>
  <c r="I128" i="29"/>
  <c r="J166" i="84"/>
  <c r="J165" i="84"/>
  <c r="J18" i="61"/>
  <c r="K9" i="61" s="1"/>
  <c r="H41" i="61"/>
  <c r="E9" i="69" s="1"/>
  <c r="I37" i="61"/>
  <c r="F9" i="21"/>
  <c r="C22" i="68"/>
  <c r="C163" i="29"/>
  <c r="C164" i="29" s="1"/>
  <c r="C165" i="29" s="1"/>
  <c r="B38" i="21"/>
  <c r="B40" i="21" s="1"/>
  <c r="C133" i="29"/>
  <c r="C134" i="29" s="1"/>
  <c r="C135" i="29" s="1"/>
  <c r="C41" i="29"/>
  <c r="C43" i="29" s="1"/>
  <c r="C47" i="29" s="1"/>
  <c r="C178" i="29"/>
  <c r="C179" i="29" s="1"/>
  <c r="C180" i="29" s="1"/>
  <c r="C148" i="29"/>
  <c r="C149" i="29" s="1"/>
  <c r="C150" i="29" s="1"/>
  <c r="I16" i="61"/>
  <c r="G153" i="29"/>
  <c r="G138" i="29"/>
  <c r="G123" i="29"/>
  <c r="F15" i="21"/>
  <c r="G6" i="68" s="1"/>
  <c r="G168" i="29"/>
  <c r="G32" i="29"/>
  <c r="I8" i="61"/>
  <c r="G175" i="84"/>
  <c r="G177" i="84" s="1"/>
  <c r="G167" i="72"/>
  <c r="J282" i="55"/>
  <c r="J283" i="55"/>
  <c r="G157" i="29"/>
  <c r="G142" i="29"/>
  <c r="G127" i="29"/>
  <c r="G172" i="29"/>
  <c r="G36" i="29"/>
  <c r="I282" i="55"/>
  <c r="I283" i="55"/>
  <c r="F153" i="29"/>
  <c r="F138" i="29"/>
  <c r="F123" i="29"/>
  <c r="F32" i="29"/>
  <c r="F168" i="29"/>
  <c r="E15" i="21"/>
  <c r="F6" i="68" s="1"/>
  <c r="F169" i="29"/>
  <c r="F154" i="29"/>
  <c r="F139" i="29"/>
  <c r="F124" i="29"/>
  <c r="F33" i="29"/>
  <c r="I17" i="61"/>
  <c r="J229" i="55"/>
  <c r="E175" i="29"/>
  <c r="E130" i="29"/>
  <c r="E160" i="29"/>
  <c r="C19" i="21"/>
  <c r="E178" i="72"/>
  <c r="E180" i="72" s="1"/>
  <c r="F50" i="61"/>
  <c r="J158" i="72"/>
  <c r="J157" i="72"/>
  <c r="H157" i="29"/>
  <c r="H142" i="29"/>
  <c r="H127" i="29"/>
  <c r="H36" i="29"/>
  <c r="H172" i="29"/>
  <c r="F52" i="61"/>
  <c r="C23" i="21"/>
  <c r="E186" i="84"/>
  <c r="E188" i="84" s="1"/>
  <c r="I7" i="61"/>
  <c r="G290" i="55"/>
  <c r="G292" i="55" s="1"/>
  <c r="H21" i="61"/>
  <c r="K6" i="61"/>
  <c r="I260" i="53"/>
  <c r="F22" i="21"/>
  <c r="F62" i="21" s="1"/>
  <c r="I47" i="61"/>
  <c r="H274" i="53"/>
  <c r="H276" i="53" s="1"/>
  <c r="D23" i="21"/>
  <c r="G52" i="61"/>
  <c r="F186" i="84"/>
  <c r="F188" i="84" s="1"/>
  <c r="I259" i="53"/>
  <c r="E39" i="29"/>
  <c r="E145" i="29"/>
  <c r="Q63" i="22"/>
  <c r="Q64" i="22" s="1"/>
  <c r="P39" i="22"/>
  <c r="J37" i="61" l="1"/>
  <c r="J159" i="72"/>
  <c r="K17" i="61" s="1"/>
  <c r="J175" i="84" s="1"/>
  <c r="H42" i="61"/>
  <c r="H44" i="61" s="1"/>
  <c r="E10" i="69"/>
  <c r="E56" i="61"/>
  <c r="O45" i="22"/>
  <c r="O66" i="22"/>
  <c r="J17" i="61"/>
  <c r="K8" i="61" s="1"/>
  <c r="G69" i="22"/>
  <c r="H38" i="22"/>
  <c r="I157" i="29"/>
  <c r="I172" i="29"/>
  <c r="G169" i="72"/>
  <c r="H50" i="61" s="1"/>
  <c r="J36" i="61"/>
  <c r="J41" i="61" s="1"/>
  <c r="G9" i="69" s="1"/>
  <c r="I127" i="29"/>
  <c r="F178" i="72"/>
  <c r="F180" i="72" s="1"/>
  <c r="I142" i="29"/>
  <c r="D19" i="21"/>
  <c r="D25" i="21" s="1"/>
  <c r="I36" i="29"/>
  <c r="I41" i="61"/>
  <c r="F9" i="69" s="1"/>
  <c r="K18" i="61"/>
  <c r="F54" i="61"/>
  <c r="F130" i="29"/>
  <c r="I262" i="53"/>
  <c r="I274" i="53" s="1"/>
  <c r="I276" i="53" s="1"/>
  <c r="C25" i="21"/>
  <c r="D22" i="68" s="1"/>
  <c r="F160" i="29"/>
  <c r="K16" i="61"/>
  <c r="J290" i="55" s="1"/>
  <c r="K37" i="61"/>
  <c r="H9" i="21"/>
  <c r="H8" i="21"/>
  <c r="K36" i="61"/>
  <c r="J259" i="53"/>
  <c r="J262" i="53" s="1"/>
  <c r="H174" i="84"/>
  <c r="H166" i="72"/>
  <c r="J7" i="61"/>
  <c r="H290" i="55"/>
  <c r="I21" i="61"/>
  <c r="F39" i="29"/>
  <c r="F145" i="29"/>
  <c r="G54" i="61"/>
  <c r="G186" i="84"/>
  <c r="G188" i="84" s="1"/>
  <c r="E23" i="21"/>
  <c r="H52" i="61"/>
  <c r="H289" i="55"/>
  <c r="H292" i="55" s="1"/>
  <c r="I12" i="61"/>
  <c r="H49" i="61"/>
  <c r="E18" i="21"/>
  <c r="G302" i="55"/>
  <c r="G305" i="55" s="1"/>
  <c r="J8" i="61"/>
  <c r="H175" i="84"/>
  <c r="H167" i="72"/>
  <c r="J16" i="61"/>
  <c r="H153" i="29"/>
  <c r="H138" i="29"/>
  <c r="H123" i="29"/>
  <c r="H32" i="29"/>
  <c r="H168" i="29"/>
  <c r="G15" i="21"/>
  <c r="H6" i="68" s="1"/>
  <c r="C109" i="29"/>
  <c r="B45" i="21"/>
  <c r="G33" i="29"/>
  <c r="G39" i="29" s="1"/>
  <c r="G169" i="29"/>
  <c r="G175" i="29" s="1"/>
  <c r="G154" i="29"/>
  <c r="G160" i="29" s="1"/>
  <c r="G139" i="29"/>
  <c r="G145" i="29" s="1"/>
  <c r="G124" i="29"/>
  <c r="G130" i="29" s="1"/>
  <c r="H169" i="29"/>
  <c r="H154" i="29"/>
  <c r="H139" i="29"/>
  <c r="H124" i="29"/>
  <c r="H33" i="29"/>
  <c r="F175" i="29"/>
  <c r="Q65" i="22"/>
  <c r="R62" i="22" s="1"/>
  <c r="R63" i="22" s="1"/>
  <c r="R64" i="22" s="1"/>
  <c r="P41" i="22"/>
  <c r="P40" i="22"/>
  <c r="I42" i="61" l="1"/>
  <c r="I44" i="61" s="1"/>
  <c r="F10" i="69"/>
  <c r="C30" i="68"/>
  <c r="D30" i="68" s="1"/>
  <c r="D11" i="62"/>
  <c r="D12" i="62" s="1"/>
  <c r="D22" i="29" s="1"/>
  <c r="G55" i="61"/>
  <c r="D25" i="69"/>
  <c r="J41" i="21"/>
  <c r="E57" i="61"/>
  <c r="B24" i="69" s="1"/>
  <c r="B27" i="69" s="1"/>
  <c r="F55" i="61"/>
  <c r="C25" i="69"/>
  <c r="O46" i="22"/>
  <c r="O67" i="22"/>
  <c r="F98" i="22" s="1"/>
  <c r="O47" i="22"/>
  <c r="I167" i="72"/>
  <c r="I175" i="84"/>
  <c r="C10" i="68"/>
  <c r="D4" i="23"/>
  <c r="H66" i="22"/>
  <c r="G13" i="69" s="1"/>
  <c r="G15" i="69" s="1"/>
  <c r="H41" i="22"/>
  <c r="E19" i="21"/>
  <c r="E25" i="21" s="1"/>
  <c r="G178" i="72"/>
  <c r="G180" i="72" s="1"/>
  <c r="G22" i="21"/>
  <c r="G62" i="21" s="1"/>
  <c r="J167" i="72"/>
  <c r="J47" i="61"/>
  <c r="K21" i="61"/>
  <c r="C38" i="21"/>
  <c r="C40" i="21" s="1"/>
  <c r="D109" i="29" s="1"/>
  <c r="D148" i="29"/>
  <c r="D149" i="29" s="1"/>
  <c r="D150" i="29" s="1"/>
  <c r="D41" i="29"/>
  <c r="D43" i="29" s="1"/>
  <c r="D47" i="29" s="1"/>
  <c r="D163" i="29"/>
  <c r="D164" i="29" s="1"/>
  <c r="D165" i="29" s="1"/>
  <c r="D178" i="29"/>
  <c r="D179" i="29" s="1"/>
  <c r="D180" i="29" s="1"/>
  <c r="D133" i="29"/>
  <c r="D134" i="29" s="1"/>
  <c r="D135" i="29" s="1"/>
  <c r="K41" i="61"/>
  <c r="H9" i="69" s="1"/>
  <c r="I49" i="61"/>
  <c r="F18" i="21"/>
  <c r="H302" i="55"/>
  <c r="H305" i="55" s="1"/>
  <c r="I289" i="55"/>
  <c r="J12" i="61"/>
  <c r="J166" i="72"/>
  <c r="J174" i="84"/>
  <c r="J177" i="84" s="1"/>
  <c r="I33" i="29"/>
  <c r="I169" i="29"/>
  <c r="I154" i="29"/>
  <c r="I139" i="29"/>
  <c r="I124" i="29"/>
  <c r="H39" i="29"/>
  <c r="H175" i="29"/>
  <c r="H130" i="29"/>
  <c r="H160" i="29"/>
  <c r="H54" i="61"/>
  <c r="H177" i="84"/>
  <c r="E178" i="29"/>
  <c r="E179" i="29" s="1"/>
  <c r="E180" i="29" s="1"/>
  <c r="E22" i="68"/>
  <c r="E148" i="29"/>
  <c r="E149" i="29" s="1"/>
  <c r="E150" i="29" s="1"/>
  <c r="E163" i="29"/>
  <c r="E164" i="29" s="1"/>
  <c r="E165" i="29" s="1"/>
  <c r="E41" i="29"/>
  <c r="E43" i="29" s="1"/>
  <c r="E47" i="29" s="1"/>
  <c r="E133" i="29"/>
  <c r="E134" i="29" s="1"/>
  <c r="E135" i="29" s="1"/>
  <c r="D38" i="21"/>
  <c r="D40" i="21" s="1"/>
  <c r="K7" i="61"/>
  <c r="I290" i="55"/>
  <c r="J21" i="61"/>
  <c r="I174" i="84"/>
  <c r="I166" i="72"/>
  <c r="H22" i="21"/>
  <c r="H62" i="21" s="1"/>
  <c r="K47" i="61"/>
  <c r="J274" i="53"/>
  <c r="J276" i="53" s="1"/>
  <c r="I153" i="29"/>
  <c r="I138" i="29"/>
  <c r="I123" i="29"/>
  <c r="H15" i="21"/>
  <c r="I6" i="68" s="1"/>
  <c r="I168" i="29"/>
  <c r="I32" i="29"/>
  <c r="H145" i="29"/>
  <c r="H169" i="72"/>
  <c r="R65" i="22"/>
  <c r="Q38" i="22"/>
  <c r="J42" i="61" l="1"/>
  <c r="J44" i="61" s="1"/>
  <c r="G10" i="69"/>
  <c r="K42" i="61"/>
  <c r="K44" i="61" s="1"/>
  <c r="H10" i="69"/>
  <c r="D11" i="68"/>
  <c r="F57" i="61"/>
  <c r="C24" i="69" s="1"/>
  <c r="C27" i="69" s="1"/>
  <c r="H55" i="61"/>
  <c r="E25" i="69"/>
  <c r="E21" i="62"/>
  <c r="C7" i="68" s="1"/>
  <c r="C12" i="68" s="1"/>
  <c r="C94" i="29"/>
  <c r="E11" i="68"/>
  <c r="G57" i="61"/>
  <c r="D24" i="69" s="1"/>
  <c r="D27" i="69" s="1"/>
  <c r="O68" i="22"/>
  <c r="P44" i="22"/>
  <c r="O69" i="22"/>
  <c r="I177" i="84"/>
  <c r="J52" i="61" s="1"/>
  <c r="I169" i="72"/>
  <c r="I178" i="72" s="1"/>
  <c r="I180" i="72" s="1"/>
  <c r="C10" i="23"/>
  <c r="D10" i="23" s="1"/>
  <c r="D8" i="23"/>
  <c r="H69" i="22"/>
  <c r="I38" i="22"/>
  <c r="I130" i="29"/>
  <c r="C45" i="21"/>
  <c r="I145" i="29"/>
  <c r="J169" i="72"/>
  <c r="J178" i="72" s="1"/>
  <c r="J180" i="72" s="1"/>
  <c r="F178" i="29"/>
  <c r="F179" i="29" s="1"/>
  <c r="F180" i="29" s="1"/>
  <c r="F163" i="29"/>
  <c r="F164" i="29" s="1"/>
  <c r="F165" i="29" s="1"/>
  <c r="F41" i="29"/>
  <c r="F43" i="29" s="1"/>
  <c r="F47" i="29" s="1"/>
  <c r="F22" i="68"/>
  <c r="F148" i="29"/>
  <c r="F149" i="29" s="1"/>
  <c r="F150" i="29" s="1"/>
  <c r="I39" i="29"/>
  <c r="F133" i="29"/>
  <c r="F134" i="29" s="1"/>
  <c r="F135" i="29" s="1"/>
  <c r="I175" i="29"/>
  <c r="E38" i="21"/>
  <c r="E40" i="21" s="1"/>
  <c r="E45" i="21" s="1"/>
  <c r="I160" i="29"/>
  <c r="I50" i="61"/>
  <c r="F19" i="21"/>
  <c r="H178" i="72"/>
  <c r="H180" i="72" s="1"/>
  <c r="J289" i="55"/>
  <c r="J292" i="55" s="1"/>
  <c r="K12" i="61"/>
  <c r="F23" i="21"/>
  <c r="I52" i="61"/>
  <c r="H186" i="84"/>
  <c r="H188" i="84" s="1"/>
  <c r="H23" i="21"/>
  <c r="K52" i="61"/>
  <c r="J186" i="84"/>
  <c r="J188" i="84" s="1"/>
  <c r="E109" i="29"/>
  <c r="D45" i="21"/>
  <c r="I292" i="55"/>
  <c r="Q39" i="22"/>
  <c r="E27" i="68" l="1"/>
  <c r="E28" i="68" s="1"/>
  <c r="E12" i="68"/>
  <c r="F11" i="68"/>
  <c r="H57" i="61"/>
  <c r="E24" i="69" s="1"/>
  <c r="E27" i="69" s="1"/>
  <c r="E22" i="62"/>
  <c r="C83" i="29"/>
  <c r="D27" i="68"/>
  <c r="D28" i="68" s="1"/>
  <c r="D12" i="68"/>
  <c r="B33" i="69"/>
  <c r="C33" i="69" s="1"/>
  <c r="D33" i="69" s="1"/>
  <c r="E33" i="69" s="1"/>
  <c r="F33" i="69" s="1"/>
  <c r="G33" i="69" s="1"/>
  <c r="H33" i="69" s="1"/>
  <c r="I186" i="84"/>
  <c r="I188" i="84" s="1"/>
  <c r="J50" i="61"/>
  <c r="P45" i="22"/>
  <c r="P66" i="22"/>
  <c r="G23" i="21"/>
  <c r="F10" i="23"/>
  <c r="G19" i="21"/>
  <c r="F23" i="23"/>
  <c r="F43" i="23"/>
  <c r="F53" i="23"/>
  <c r="F89" i="23"/>
  <c r="F38" i="23"/>
  <c r="F25" i="23"/>
  <c r="F46" i="23"/>
  <c r="F58" i="23"/>
  <c r="F91" i="23"/>
  <c r="F47" i="23"/>
  <c r="F39" i="23"/>
  <c r="F45" i="23"/>
  <c r="F85" i="23"/>
  <c r="F92" i="23"/>
  <c r="F41" i="23"/>
  <c r="F49" i="23"/>
  <c r="F87" i="23"/>
  <c r="F29" i="23"/>
  <c r="F52" i="23"/>
  <c r="F65" i="23"/>
  <c r="F42" i="23"/>
  <c r="F68" i="23"/>
  <c r="F22" i="23"/>
  <c r="F54" i="23"/>
  <c r="F67" i="23"/>
  <c r="F51" i="23"/>
  <c r="F69" i="23"/>
  <c r="F32" i="23"/>
  <c r="F31" i="23"/>
  <c r="F78" i="23"/>
  <c r="F75" i="23"/>
  <c r="F90" i="23"/>
  <c r="F33" i="23"/>
  <c r="F36" i="23"/>
  <c r="F80" i="23"/>
  <c r="F79" i="23"/>
  <c r="F28" i="23"/>
  <c r="F59" i="23"/>
  <c r="F74" i="23"/>
  <c r="F66" i="23"/>
  <c r="F82" i="23"/>
  <c r="F30" i="23"/>
  <c r="F27" i="23"/>
  <c r="F76" i="23"/>
  <c r="F71" i="23"/>
  <c r="F86" i="23"/>
  <c r="F24" i="23"/>
  <c r="F56" i="23"/>
  <c r="F70" i="23"/>
  <c r="F60" i="23"/>
  <c r="F73" i="23"/>
  <c r="F26" i="23"/>
  <c r="F57" i="23"/>
  <c r="F72" i="23"/>
  <c r="F62" i="23"/>
  <c r="F77" i="23"/>
  <c r="F35" i="23"/>
  <c r="F40" i="23"/>
  <c r="F81" i="23"/>
  <c r="F84" i="23"/>
  <c r="F37" i="23"/>
  <c r="F44" i="23"/>
  <c r="F83" i="23"/>
  <c r="F88" i="23"/>
  <c r="F48" i="23"/>
  <c r="F61" i="23"/>
  <c r="F93" i="23"/>
  <c r="F55" i="23"/>
  <c r="F50" i="23"/>
  <c r="F63" i="23"/>
  <c r="F34" i="23"/>
  <c r="F64" i="23"/>
  <c r="I41" i="22"/>
  <c r="I69" i="22" s="1"/>
  <c r="I66" i="22"/>
  <c r="H13" i="69" s="1"/>
  <c r="H15" i="69" s="1"/>
  <c r="F109" i="29"/>
  <c r="K50" i="61"/>
  <c r="H19" i="21"/>
  <c r="I54" i="61"/>
  <c r="F25" i="21"/>
  <c r="G41" i="29" s="1"/>
  <c r="G43" i="29" s="1"/>
  <c r="G47" i="29" s="1"/>
  <c r="J49" i="61"/>
  <c r="I302" i="55"/>
  <c r="I305" i="55" s="1"/>
  <c r="G18" i="21"/>
  <c r="H18" i="21"/>
  <c r="J302" i="55"/>
  <c r="J305" i="55" s="1"/>
  <c r="K49" i="61"/>
  <c r="Q40" i="22"/>
  <c r="Q41" i="22"/>
  <c r="J54" i="61" l="1"/>
  <c r="J55" i="61" s="1"/>
  <c r="I55" i="61"/>
  <c r="F25" i="69"/>
  <c r="F12" i="68"/>
  <c r="F27" i="68"/>
  <c r="F28" i="68" s="1"/>
  <c r="P47" i="22"/>
  <c r="P67" i="22"/>
  <c r="G98" i="22" s="1"/>
  <c r="P46" i="22"/>
  <c r="I45" i="23"/>
  <c r="E10" i="23"/>
  <c r="I81" i="23"/>
  <c r="I93" i="23"/>
  <c r="I33" i="23"/>
  <c r="I57" i="23"/>
  <c r="I69" i="23"/>
  <c r="G25" i="21"/>
  <c r="H163" i="29" s="1"/>
  <c r="H164" i="29" s="1"/>
  <c r="H165" i="29" s="1"/>
  <c r="H25" i="21"/>
  <c r="H38" i="21" s="1"/>
  <c r="H40" i="21" s="1"/>
  <c r="K54" i="61"/>
  <c r="F38" i="21"/>
  <c r="F40" i="21" s="1"/>
  <c r="G109" i="29" s="1"/>
  <c r="G22" i="68"/>
  <c r="G163" i="29"/>
  <c r="G164" i="29" s="1"/>
  <c r="G165" i="29" s="1"/>
  <c r="G178" i="29"/>
  <c r="G179" i="29" s="1"/>
  <c r="G180" i="29" s="1"/>
  <c r="G148" i="29"/>
  <c r="G149" i="29" s="1"/>
  <c r="G150" i="29" s="1"/>
  <c r="G133" i="29"/>
  <c r="G134" i="29" s="1"/>
  <c r="G135" i="29" s="1"/>
  <c r="R38" i="22"/>
  <c r="G25" i="69" l="1"/>
  <c r="K55" i="61"/>
  <c r="H25" i="69"/>
  <c r="G11" i="68"/>
  <c r="I57" i="61"/>
  <c r="F24" i="69" s="1"/>
  <c r="F27" i="69" s="1"/>
  <c r="H11" i="68"/>
  <c r="J57" i="61"/>
  <c r="G24" i="69" s="1"/>
  <c r="H133" i="29"/>
  <c r="H134" i="29" s="1"/>
  <c r="H135" i="29" s="1"/>
  <c r="Q44" i="22"/>
  <c r="P69" i="22"/>
  <c r="P68" i="22"/>
  <c r="G10" i="23"/>
  <c r="C11" i="23" s="1"/>
  <c r="D11" i="23" s="1"/>
  <c r="H41" i="29"/>
  <c r="H43" i="29" s="1"/>
  <c r="H47" i="29" s="1"/>
  <c r="H178" i="29"/>
  <c r="H179" i="29" s="1"/>
  <c r="H180" i="29" s="1"/>
  <c r="H148" i="29"/>
  <c r="H149" i="29" s="1"/>
  <c r="H150" i="29" s="1"/>
  <c r="G38" i="21"/>
  <c r="G40" i="21" s="1"/>
  <c r="G45" i="21" s="1"/>
  <c r="H22" i="68"/>
  <c r="F45" i="21"/>
  <c r="I22" i="68"/>
  <c r="I178" i="29"/>
  <c r="I179" i="29" s="1"/>
  <c r="I180" i="29" s="1"/>
  <c r="I133" i="29"/>
  <c r="I134" i="29" s="1"/>
  <c r="I135" i="29" s="1"/>
  <c r="I41" i="29"/>
  <c r="I43" i="29" s="1"/>
  <c r="I47" i="29" s="1"/>
  <c r="I163" i="29"/>
  <c r="I164" i="29" s="1"/>
  <c r="I165" i="29" s="1"/>
  <c r="I148" i="29"/>
  <c r="I149" i="29" s="1"/>
  <c r="I150" i="29" s="1"/>
  <c r="I109" i="29"/>
  <c r="H45" i="21"/>
  <c r="R39" i="22"/>
  <c r="G27" i="69" l="1"/>
  <c r="G27" i="68"/>
  <c r="G28" i="68" s="1"/>
  <c r="G12" i="68"/>
  <c r="H12" i="68"/>
  <c r="H27" i="68"/>
  <c r="H28" i="68" s="1"/>
  <c r="I11" i="68"/>
  <c r="K57" i="61"/>
  <c r="H24" i="69" s="1"/>
  <c r="H27" i="69" s="1"/>
  <c r="H31" i="69" s="1"/>
  <c r="Q45" i="22"/>
  <c r="Q66" i="22"/>
  <c r="H109" i="29"/>
  <c r="F11" i="23"/>
  <c r="C49" i="29"/>
  <c r="D28" i="62" s="1"/>
  <c r="R40" i="22"/>
  <c r="R41" i="22"/>
  <c r="I12" i="68" l="1"/>
  <c r="I27" i="68"/>
  <c r="I28" i="68" s="1"/>
  <c r="Q47" i="22"/>
  <c r="Q67" i="22"/>
  <c r="H98" i="22" s="1"/>
  <c r="Q46" i="22"/>
  <c r="E11" i="23"/>
  <c r="R44" i="22" l="1"/>
  <c r="Q69" i="22"/>
  <c r="Q68" i="22"/>
  <c r="G11" i="23"/>
  <c r="C12" i="23" s="1"/>
  <c r="D12" i="23" s="1"/>
  <c r="R45" i="22" l="1"/>
  <c r="R66" i="22"/>
  <c r="F12" i="23"/>
  <c r="R47" i="22" l="1"/>
  <c r="R69" i="22" s="1"/>
  <c r="R67" i="22"/>
  <c r="I98" i="22" s="1"/>
  <c r="R46" i="22"/>
  <c r="R68" i="22" s="1"/>
  <c r="E12" i="23"/>
  <c r="G12" i="23" l="1"/>
  <c r="C13" i="23" s="1"/>
  <c r="D13" i="23" s="1"/>
  <c r="F13" i="23" l="1"/>
  <c r="E13" i="23" l="1"/>
  <c r="G13" i="23" l="1"/>
  <c r="C14" i="23" s="1"/>
  <c r="D14" i="23" s="1"/>
  <c r="F14" i="23" l="1"/>
  <c r="E14" i="23" l="1"/>
  <c r="G14" i="23" l="1"/>
  <c r="C15" i="23" s="1"/>
  <c r="D15" i="23" s="1"/>
  <c r="F15" i="23" l="1"/>
  <c r="E15" i="23" s="1"/>
  <c r="G15" i="23" l="1"/>
  <c r="C16" i="23" s="1"/>
  <c r="H21" i="23"/>
  <c r="C25" i="68"/>
  <c r="D16" i="23" l="1"/>
  <c r="G16" i="23"/>
  <c r="C17" i="23" s="1"/>
  <c r="F16" i="23" l="1"/>
  <c r="D17" i="23"/>
  <c r="F17" i="23" s="1"/>
  <c r="G17" i="23"/>
  <c r="C18" i="23" s="1"/>
  <c r="D18" i="23" l="1"/>
  <c r="G18" i="23"/>
  <c r="C19" i="23" s="1"/>
  <c r="F18" i="23" l="1"/>
  <c r="D19" i="23"/>
  <c r="F19" i="23" s="1"/>
  <c r="G19" i="23"/>
  <c r="C20" i="23" s="1"/>
  <c r="D20" i="23" l="1"/>
  <c r="G20" i="23"/>
  <c r="C21" i="23" s="1"/>
  <c r="F20" i="23" l="1"/>
  <c r="D21" i="23"/>
  <c r="C26" i="68" s="1"/>
  <c r="G21" i="23"/>
  <c r="B47" i="21" l="1"/>
  <c r="B49" i="21" s="1"/>
  <c r="C111" i="29"/>
  <c r="C113" i="29"/>
  <c r="F21" i="23"/>
  <c r="I21" i="23" s="1"/>
  <c r="J21" i="23"/>
  <c r="C22" i="23"/>
  <c r="B28" i="69"/>
  <c r="B31" i="69" s="1"/>
  <c r="C115" i="29" l="1"/>
  <c r="C96" i="22"/>
  <c r="J40" i="21"/>
  <c r="J42" i="21" s="1"/>
  <c r="D22" i="23"/>
  <c r="C103" i="22" l="1"/>
  <c r="C99" i="22"/>
  <c r="C100" i="22" s="1"/>
  <c r="C101" i="22" s="1"/>
  <c r="C102" i="22" s="1"/>
  <c r="E22" i="23"/>
  <c r="C104" i="22" l="1"/>
  <c r="B50" i="21" s="1"/>
  <c r="B51" i="21" s="1"/>
  <c r="G22" i="23"/>
  <c r="C23" i="23" s="1"/>
  <c r="C29" i="68" l="1"/>
  <c r="C31" i="68" s="1"/>
  <c r="D95" i="29"/>
  <c r="D98" i="29" s="1"/>
  <c r="D99" i="29" s="1"/>
  <c r="B53" i="21"/>
  <c r="B37" i="69" s="1"/>
  <c r="B39" i="69" s="1"/>
  <c r="D9" i="29"/>
  <c r="D14" i="29" s="1"/>
  <c r="C58" i="29"/>
  <c r="C63" i="29" s="1"/>
  <c r="C67" i="29" s="1"/>
  <c r="C80" i="29"/>
  <c r="D23" i="23"/>
  <c r="D15" i="29" l="1"/>
  <c r="C32" i="68"/>
  <c r="C34" i="68" s="1"/>
  <c r="B8" i="69" s="1"/>
  <c r="B11" i="69" s="1"/>
  <c r="B20" i="69" s="1"/>
  <c r="E23" i="23"/>
  <c r="C36" i="69"/>
  <c r="B41" i="69"/>
  <c r="B43" i="69" s="1"/>
  <c r="B46" i="69" l="1"/>
  <c r="D33" i="68"/>
  <c r="G23" i="23"/>
  <c r="C24" i="23" s="1"/>
  <c r="D24" i="23" l="1"/>
  <c r="E24" i="23" l="1"/>
  <c r="G24" i="23" l="1"/>
  <c r="C25" i="23" s="1"/>
  <c r="D25" i="23" l="1"/>
  <c r="E25" i="23" l="1"/>
  <c r="G25" i="23" l="1"/>
  <c r="C26" i="23" s="1"/>
  <c r="D26" i="23" l="1"/>
  <c r="E26" i="23" l="1"/>
  <c r="G26" i="23" l="1"/>
  <c r="C27" i="23" s="1"/>
  <c r="D27" i="23" s="1"/>
  <c r="E27" i="23" l="1"/>
  <c r="G27" i="23" l="1"/>
  <c r="C28" i="23" s="1"/>
  <c r="D28" i="23" s="1"/>
  <c r="E28" i="23" l="1"/>
  <c r="G28" i="23" l="1"/>
  <c r="C29" i="23" s="1"/>
  <c r="D29" i="23" s="1"/>
  <c r="E29" i="23" l="1"/>
  <c r="G29" i="23" l="1"/>
  <c r="C30" i="23" s="1"/>
  <c r="D30" i="23" s="1"/>
  <c r="E30" i="23" s="1"/>
  <c r="G30" i="23" s="1"/>
  <c r="C31" i="23" s="1"/>
  <c r="D31" i="23" s="1"/>
  <c r="E31" i="23" s="1"/>
  <c r="G31" i="23" s="1"/>
  <c r="C32" i="23" s="1"/>
  <c r="D32" i="23" s="1"/>
  <c r="E32" i="23" s="1"/>
  <c r="G32" i="23" s="1"/>
  <c r="C33" i="23" s="1"/>
  <c r="D33" i="23" l="1"/>
  <c r="E33" i="23" l="1"/>
  <c r="J33" i="23"/>
  <c r="D26" i="68"/>
  <c r="H33" i="23" l="1"/>
  <c r="D25" i="68"/>
  <c r="G33" i="23"/>
  <c r="C47" i="21"/>
  <c r="C49" i="21" s="1"/>
  <c r="D111" i="29"/>
  <c r="D113" i="29" l="1"/>
  <c r="D115" i="29" s="1"/>
  <c r="C34" i="23"/>
  <c r="C28" i="69"/>
  <c r="C31" i="69" s="1"/>
  <c r="D96" i="22"/>
  <c r="D34" i="23" l="1"/>
  <c r="D99" i="22"/>
  <c r="D100" i="22" s="1"/>
  <c r="D101" i="22" s="1"/>
  <c r="D102" i="22" s="1"/>
  <c r="D103" i="22"/>
  <c r="D104" i="22" l="1"/>
  <c r="C50" i="21" s="1"/>
  <c r="C51" i="21" s="1"/>
  <c r="E9" i="29" s="1"/>
  <c r="E34" i="23"/>
  <c r="D29" i="68" l="1"/>
  <c r="D31" i="68" s="1"/>
  <c r="G34" i="23"/>
  <c r="C35" i="23" s="1"/>
  <c r="D58" i="29"/>
  <c r="D63" i="29" s="1"/>
  <c r="D67" i="29" s="1"/>
  <c r="C37" i="69"/>
  <c r="C39" i="69" s="1"/>
  <c r="D80" i="29"/>
  <c r="C53" i="21"/>
  <c r="E14" i="29"/>
  <c r="E15" i="29" s="1"/>
  <c r="E95" i="29"/>
  <c r="E98" i="29" s="1"/>
  <c r="E99" i="29" s="1"/>
  <c r="D32" i="68" l="1"/>
  <c r="D34" i="68" s="1"/>
  <c r="C8" i="69" s="1"/>
  <c r="C11" i="69" s="1"/>
  <c r="C20" i="69" s="1"/>
  <c r="D35" i="23"/>
  <c r="D36" i="69"/>
  <c r="C41" i="69"/>
  <c r="C43" i="69" s="1"/>
  <c r="E33" i="68" l="1"/>
  <c r="C46" i="69"/>
  <c r="E35" i="23"/>
  <c r="G35" i="23" l="1"/>
  <c r="C36" i="23" s="1"/>
  <c r="D36" i="23" l="1"/>
  <c r="E36" i="23" l="1"/>
  <c r="G36" i="23" l="1"/>
  <c r="C37" i="23" s="1"/>
  <c r="D37" i="23" l="1"/>
  <c r="E37" i="23" l="1"/>
  <c r="G37" i="23" l="1"/>
  <c r="C38" i="23" s="1"/>
  <c r="D38" i="23" l="1"/>
  <c r="E38" i="23" l="1"/>
  <c r="G38" i="23" l="1"/>
  <c r="C39" i="23" s="1"/>
  <c r="D39" i="23" s="1"/>
  <c r="E39" i="23" l="1"/>
  <c r="G39" i="23" l="1"/>
  <c r="C40" i="23" s="1"/>
  <c r="D40" i="23" s="1"/>
  <c r="E40" i="23" l="1"/>
  <c r="G40" i="23" l="1"/>
  <c r="C41" i="23" s="1"/>
  <c r="D41" i="23" s="1"/>
  <c r="E41" i="23" l="1"/>
  <c r="G41" i="23" l="1"/>
  <c r="C42" i="23" s="1"/>
  <c r="D42" i="23" s="1"/>
  <c r="E42" i="23" s="1"/>
  <c r="G42" i="23" s="1"/>
  <c r="C43" i="23" s="1"/>
  <c r="D43" i="23" s="1"/>
  <c r="E43" i="23" s="1"/>
  <c r="G43" i="23" s="1"/>
  <c r="C44" i="23" s="1"/>
  <c r="D44" i="23" s="1"/>
  <c r="E44" i="23" s="1"/>
  <c r="G44" i="23" s="1"/>
  <c r="C45" i="23" s="1"/>
  <c r="D45" i="23" l="1"/>
  <c r="E45" i="23" l="1"/>
  <c r="J45" i="23"/>
  <c r="E26" i="68"/>
  <c r="H45" i="23" l="1"/>
  <c r="E25" i="68"/>
  <c r="E113" i="29" s="1"/>
  <c r="G45" i="23"/>
  <c r="D47" i="21"/>
  <c r="D49" i="21" s="1"/>
  <c r="E111" i="29"/>
  <c r="E115" i="29" l="1"/>
  <c r="D28" i="69"/>
  <c r="D31" i="69" s="1"/>
  <c r="C46" i="23"/>
  <c r="E96" i="22"/>
  <c r="D46" i="23" l="1"/>
  <c r="E99" i="22"/>
  <c r="E100" i="22" s="1"/>
  <c r="E101" i="22" s="1"/>
  <c r="E102" i="22" s="1"/>
  <c r="E103" i="22"/>
  <c r="E104" i="22" l="1"/>
  <c r="D50" i="21" s="1"/>
  <c r="D51" i="21" s="1"/>
  <c r="E46" i="23"/>
  <c r="E29" i="68" l="1"/>
  <c r="E31" i="68" s="1"/>
  <c r="E32" i="68" s="1"/>
  <c r="E34" i="68" s="1"/>
  <c r="D8" i="69" s="1"/>
  <c r="D11" i="69" s="1"/>
  <c r="D20" i="69" s="1"/>
  <c r="G46" i="23"/>
  <c r="C47" i="23" s="1"/>
  <c r="E80" i="29"/>
  <c r="F95" i="29"/>
  <c r="F98" i="29" s="1"/>
  <c r="F99" i="29" s="1"/>
  <c r="E58" i="29"/>
  <c r="E63" i="29" s="1"/>
  <c r="E67" i="29" s="1"/>
  <c r="D53" i="21"/>
  <c r="F9" i="29"/>
  <c r="F14" i="29" s="1"/>
  <c r="F15" i="29" s="1"/>
  <c r="D37" i="69"/>
  <c r="D39" i="69" s="1"/>
  <c r="F33" i="68" l="1"/>
  <c r="D47" i="23"/>
  <c r="D41" i="69"/>
  <c r="D43" i="69" s="1"/>
  <c r="D46" i="69" s="1"/>
  <c r="E36" i="69"/>
  <c r="E47" i="23" l="1"/>
  <c r="G47" i="23" l="1"/>
  <c r="C48" i="23" s="1"/>
  <c r="D48" i="23" l="1"/>
  <c r="E48" i="23" l="1"/>
  <c r="G48" i="23" l="1"/>
  <c r="C49" i="23" s="1"/>
  <c r="D49" i="23" l="1"/>
  <c r="E49" i="23" l="1"/>
  <c r="G49" i="23" l="1"/>
  <c r="C50" i="23" s="1"/>
  <c r="D50" i="23" l="1"/>
  <c r="E50" i="23" l="1"/>
  <c r="G50" i="23" l="1"/>
  <c r="C51" i="23" s="1"/>
  <c r="D51" i="23" s="1"/>
  <c r="E51" i="23" l="1"/>
  <c r="G51" i="23" l="1"/>
  <c r="C52" i="23" s="1"/>
  <c r="D52" i="23" s="1"/>
  <c r="E52" i="23" l="1"/>
  <c r="G52" i="23" l="1"/>
  <c r="C53" i="23" s="1"/>
  <c r="D53" i="23" s="1"/>
  <c r="E53" i="23" l="1"/>
  <c r="G53" i="23" l="1"/>
  <c r="C54" i="23" s="1"/>
  <c r="D54" i="23" s="1"/>
  <c r="E54" i="23" s="1"/>
  <c r="G54" i="23" s="1"/>
  <c r="C55" i="23" s="1"/>
  <c r="D55" i="23" s="1"/>
  <c r="E55" i="23" s="1"/>
  <c r="G55" i="23" s="1"/>
  <c r="C56" i="23" s="1"/>
  <c r="D56" i="23" s="1"/>
  <c r="E56" i="23" s="1"/>
  <c r="G56" i="23" s="1"/>
  <c r="C57" i="23" s="1"/>
  <c r="D57" i="23" l="1"/>
  <c r="E57" i="23" l="1"/>
  <c r="J57" i="23"/>
  <c r="F26" i="68"/>
  <c r="H57" i="23" l="1"/>
  <c r="F25" i="68"/>
  <c r="F113" i="29" s="1"/>
  <c r="G57" i="23"/>
  <c r="F111" i="29"/>
  <c r="E47" i="21"/>
  <c r="E49" i="21" s="1"/>
  <c r="F115" i="29" l="1"/>
  <c r="F96" i="22"/>
  <c r="C58" i="23"/>
  <c r="E28" i="69"/>
  <c r="E31" i="69" s="1"/>
  <c r="F99" i="22" l="1"/>
  <c r="F100" i="22" s="1"/>
  <c r="F101" i="22" s="1"/>
  <c r="F102" i="22" s="1"/>
  <c r="F103" i="22"/>
  <c r="D58" i="23"/>
  <c r="F104" i="22" l="1"/>
  <c r="E50" i="21" s="1"/>
  <c r="F29" i="68" s="1"/>
  <c r="F31" i="68" s="1"/>
  <c r="F32" i="68" s="1"/>
  <c r="F34" i="68" s="1"/>
  <c r="E58" i="23"/>
  <c r="E51" i="21" l="1"/>
  <c r="G95" i="29" s="1"/>
  <c r="G98" i="29" s="1"/>
  <c r="G99" i="29" s="1"/>
  <c r="E8" i="69"/>
  <c r="E11" i="69" s="1"/>
  <c r="E20" i="69" s="1"/>
  <c r="G33" i="68"/>
  <c r="G58" i="23"/>
  <c r="C59" i="23" s="1"/>
  <c r="G9" i="29" l="1"/>
  <c r="G14" i="29" s="1"/>
  <c r="G15" i="29" s="1"/>
  <c r="F58" i="29"/>
  <c r="F63" i="29" s="1"/>
  <c r="F67" i="29" s="1"/>
  <c r="F80" i="29"/>
  <c r="E53" i="21"/>
  <c r="E37" i="69"/>
  <c r="E39" i="69" s="1"/>
  <c r="E41" i="69" s="1"/>
  <c r="E43" i="69" s="1"/>
  <c r="E46" i="69" s="1"/>
  <c r="D59" i="23"/>
  <c r="F36" i="69" l="1"/>
  <c r="E59" i="23"/>
  <c r="G59" i="23" l="1"/>
  <c r="C60" i="23" s="1"/>
  <c r="D60" i="23" l="1"/>
  <c r="E60" i="23" l="1"/>
  <c r="G60" i="23" l="1"/>
  <c r="C61" i="23" s="1"/>
  <c r="D61" i="23" l="1"/>
  <c r="E61" i="23" l="1"/>
  <c r="G61" i="23" l="1"/>
  <c r="C62" i="23" s="1"/>
  <c r="D62" i="23" l="1"/>
  <c r="E62" i="23" l="1"/>
  <c r="G62" i="23" l="1"/>
  <c r="C63" i="23" s="1"/>
  <c r="D63" i="23" s="1"/>
  <c r="E63" i="23" l="1"/>
  <c r="G63" i="23" l="1"/>
  <c r="C64" i="23" s="1"/>
  <c r="D64" i="23" s="1"/>
  <c r="E64" i="23" l="1"/>
  <c r="G64" i="23" l="1"/>
  <c r="C65" i="23" s="1"/>
  <c r="D65" i="23" s="1"/>
  <c r="E65" i="23" l="1"/>
  <c r="G65" i="23" l="1"/>
  <c r="C66" i="23" s="1"/>
  <c r="D66" i="23" s="1"/>
  <c r="E66" i="23" s="1"/>
  <c r="G66" i="23" s="1"/>
  <c r="C67" i="23" s="1"/>
  <c r="D67" i="23" s="1"/>
  <c r="E67" i="23" s="1"/>
  <c r="G67" i="23" s="1"/>
  <c r="C68" i="23" s="1"/>
  <c r="D68" i="23" s="1"/>
  <c r="E68" i="23" s="1"/>
  <c r="G68" i="23" s="1"/>
  <c r="C69" i="23" s="1"/>
  <c r="D69" i="23" l="1"/>
  <c r="E69" i="23" l="1"/>
  <c r="J69" i="23"/>
  <c r="G26" i="68"/>
  <c r="H69" i="23" l="1"/>
  <c r="G25" i="68"/>
  <c r="G113" i="29" s="1"/>
  <c r="G69" i="23"/>
  <c r="G111" i="29"/>
  <c r="F47" i="21"/>
  <c r="F49" i="21" s="1"/>
  <c r="G115" i="29" l="1"/>
  <c r="G96" i="22"/>
  <c r="C70" i="23"/>
  <c r="F28" i="69"/>
  <c r="F31" i="69" s="1"/>
  <c r="G99" i="22" l="1"/>
  <c r="G100" i="22" s="1"/>
  <c r="G101" i="22" s="1"/>
  <c r="G102" i="22" s="1"/>
  <c r="G103" i="22"/>
  <c r="D70" i="23"/>
  <c r="G104" i="22" l="1"/>
  <c r="F50" i="21" s="1"/>
  <c r="F51" i="21" s="1"/>
  <c r="E70" i="23"/>
  <c r="G29" i="68" l="1"/>
  <c r="G31" i="68" s="1"/>
  <c r="G32" i="68" s="1"/>
  <c r="G34" i="68" s="1"/>
  <c r="H33" i="68" s="1"/>
  <c r="G80" i="29"/>
  <c r="H9" i="29"/>
  <c r="H14" i="29" s="1"/>
  <c r="H15" i="29" s="1"/>
  <c r="G58" i="29"/>
  <c r="G63" i="29" s="1"/>
  <c r="G67" i="29" s="1"/>
  <c r="H95" i="29"/>
  <c r="H98" i="29" s="1"/>
  <c r="F37" i="69"/>
  <c r="F39" i="69" s="1"/>
  <c r="F53" i="21"/>
  <c r="G70" i="23"/>
  <c r="C71" i="23" s="1"/>
  <c r="F8" i="69" l="1"/>
  <c r="F11" i="69" s="1"/>
  <c r="F20" i="69" s="1"/>
  <c r="D71" i="23"/>
  <c r="D101" i="29"/>
  <c r="D32" i="62" s="1"/>
  <c r="H99" i="29"/>
  <c r="F41" i="69"/>
  <c r="F43" i="69" s="1"/>
  <c r="G36" i="69"/>
  <c r="F46" i="69" l="1"/>
  <c r="E71" i="23"/>
  <c r="G71" i="23" l="1"/>
  <c r="C72" i="23" s="1"/>
  <c r="D72" i="23" l="1"/>
  <c r="E72" i="23" l="1"/>
  <c r="G72" i="23" l="1"/>
  <c r="C73" i="23" s="1"/>
  <c r="D73" i="23" l="1"/>
  <c r="E73" i="23" l="1"/>
  <c r="G73" i="23" l="1"/>
  <c r="C74" i="23" s="1"/>
  <c r="D74" i="23" l="1"/>
  <c r="E74" i="23" l="1"/>
  <c r="G74" i="23" l="1"/>
  <c r="C75" i="23" s="1"/>
  <c r="D75" i="23" s="1"/>
  <c r="E75" i="23" l="1"/>
  <c r="G75" i="23" l="1"/>
  <c r="C76" i="23" s="1"/>
  <c r="D76" i="23" s="1"/>
  <c r="E76" i="23" l="1"/>
  <c r="G76" i="23" l="1"/>
  <c r="C77" i="23" s="1"/>
  <c r="D77" i="23" s="1"/>
  <c r="E77" i="23" l="1"/>
  <c r="G77" i="23" l="1"/>
  <c r="C78" i="23" s="1"/>
  <c r="D78" i="23" s="1"/>
  <c r="E78" i="23" s="1"/>
  <c r="G78" i="23" s="1"/>
  <c r="C79" i="23" s="1"/>
  <c r="D79" i="23" s="1"/>
  <c r="E79" i="23" s="1"/>
  <c r="G79" i="23" s="1"/>
  <c r="C80" i="23" s="1"/>
  <c r="D80" i="23" s="1"/>
  <c r="E80" i="23" s="1"/>
  <c r="G80" i="23" s="1"/>
  <c r="C81" i="23" s="1"/>
  <c r="D81" i="23" l="1"/>
  <c r="E81" i="23" l="1"/>
  <c r="J81" i="23"/>
  <c r="H26" i="68"/>
  <c r="H81" i="23" l="1"/>
  <c r="H25" i="68"/>
  <c r="H113" i="29" s="1"/>
  <c r="G81" i="23"/>
  <c r="H111" i="29"/>
  <c r="G47" i="21"/>
  <c r="G49" i="21" s="1"/>
  <c r="H115" i="29" l="1"/>
  <c r="H96" i="22"/>
  <c r="C82" i="23"/>
  <c r="G28" i="69"/>
  <c r="G31" i="69" s="1"/>
  <c r="H99" i="22" l="1"/>
  <c r="H100" i="22" s="1"/>
  <c r="H101" i="22" s="1"/>
  <c r="H102" i="22" s="1"/>
  <c r="H103" i="22"/>
  <c r="D82" i="23"/>
  <c r="H104" i="22" l="1"/>
  <c r="G50" i="21" s="1"/>
  <c r="G51" i="21" s="1"/>
  <c r="E82" i="23"/>
  <c r="H29" i="68" l="1"/>
  <c r="H31" i="68" s="1"/>
  <c r="H32" i="68" s="1"/>
  <c r="H34" i="68" s="1"/>
  <c r="G8" i="69" s="1"/>
  <c r="G11" i="69" s="1"/>
  <c r="G20" i="69" s="1"/>
  <c r="H80" i="29"/>
  <c r="G37" i="69"/>
  <c r="G39" i="69" s="1"/>
  <c r="I9" i="29"/>
  <c r="I14" i="29" s="1"/>
  <c r="I15" i="29" s="1"/>
  <c r="I95" i="29"/>
  <c r="I98" i="29" s="1"/>
  <c r="H58" i="29"/>
  <c r="H63" i="29" s="1"/>
  <c r="H67" i="29" s="1"/>
  <c r="G53" i="21"/>
  <c r="G82" i="23"/>
  <c r="C83" i="23" s="1"/>
  <c r="I33" i="68" l="1"/>
  <c r="D83" i="23"/>
  <c r="H36" i="69"/>
  <c r="G41" i="69"/>
  <c r="G43" i="69" s="1"/>
  <c r="G46" i="69" s="1"/>
  <c r="E83" i="23" l="1"/>
  <c r="G83" i="23" l="1"/>
  <c r="C84" i="23" s="1"/>
  <c r="D84" i="23" l="1"/>
  <c r="E84" i="23" l="1"/>
  <c r="G84" i="23" l="1"/>
  <c r="C85" i="23" s="1"/>
  <c r="D85" i="23" l="1"/>
  <c r="E85" i="23" l="1"/>
  <c r="G85" i="23" l="1"/>
  <c r="C86" i="23" s="1"/>
  <c r="D86" i="23" l="1"/>
  <c r="E86" i="23" l="1"/>
  <c r="G86" i="23" l="1"/>
  <c r="C87" i="23" s="1"/>
  <c r="D87" i="23" s="1"/>
  <c r="E87" i="23" l="1"/>
  <c r="G87" i="23" l="1"/>
  <c r="C88" i="23" s="1"/>
  <c r="D88" i="23" s="1"/>
  <c r="E88" i="23" l="1"/>
  <c r="G88" i="23" l="1"/>
  <c r="C89" i="23" s="1"/>
  <c r="D89" i="23" s="1"/>
  <c r="E89" i="23" l="1"/>
  <c r="G89" i="23" l="1"/>
  <c r="C90" i="23" s="1"/>
  <c r="D90" i="23" s="1"/>
  <c r="E90" i="23" s="1"/>
  <c r="G90" i="23" s="1"/>
  <c r="C91" i="23" s="1"/>
  <c r="D91" i="23" s="1"/>
  <c r="E91" i="23" s="1"/>
  <c r="G91" i="23" s="1"/>
  <c r="C92" i="23" s="1"/>
  <c r="D92" i="23" s="1"/>
  <c r="E92" i="23" s="1"/>
  <c r="G92" i="23" s="1"/>
  <c r="C93" i="23" s="1"/>
  <c r="D93" i="23" l="1"/>
  <c r="E93" i="23" l="1"/>
  <c r="J93" i="23"/>
  <c r="I26" i="68"/>
  <c r="D94" i="23"/>
  <c r="H93" i="23" l="1"/>
  <c r="E94" i="23"/>
  <c r="I25" i="68"/>
  <c r="I113" i="29" s="1"/>
  <c r="G93" i="23"/>
  <c r="I111" i="29"/>
  <c r="H47" i="21"/>
  <c r="H49" i="21" s="1"/>
  <c r="I115" i="29" l="1"/>
  <c r="I96" i="22"/>
  <c r="C117" i="29"/>
  <c r="D33" i="62" s="1"/>
  <c r="I103" i="22" l="1"/>
  <c r="I99" i="22"/>
  <c r="I100" i="22" s="1"/>
  <c r="I101" i="22" s="1"/>
  <c r="I102" i="22" s="1"/>
  <c r="I104" i="22" l="1"/>
  <c r="H50" i="21" s="1"/>
  <c r="I29" i="68" l="1"/>
  <c r="I31" i="68" s="1"/>
  <c r="I32" i="68" s="1"/>
  <c r="I34" i="68" s="1"/>
  <c r="H8" i="69" s="1"/>
  <c r="H11" i="69" s="1"/>
  <c r="H20" i="69" s="1"/>
  <c r="H51" i="21"/>
  <c r="J95" i="29" l="1"/>
  <c r="J98" i="29" s="1"/>
  <c r="H53" i="21"/>
  <c r="H37" i="69"/>
  <c r="H39" i="69" s="1"/>
  <c r="H41" i="69" s="1"/>
  <c r="H43" i="69" s="1"/>
  <c r="H46" i="69" s="1"/>
  <c r="I80" i="29"/>
  <c r="C82" i="29" s="1"/>
  <c r="C85" i="29" s="1"/>
  <c r="D29" i="62" s="1"/>
  <c r="I58" i="29"/>
  <c r="I63" i="29" s="1"/>
  <c r="I67" i="29" s="1"/>
  <c r="C69" i="29" s="1"/>
  <c r="C73" i="29" s="1"/>
  <c r="D31" i="62" s="1"/>
  <c r="J9" i="29"/>
  <c r="J14" i="29" s="1"/>
  <c r="J15" i="29" s="1"/>
  <c r="C16" i="29" s="1"/>
  <c r="D18" i="29" s="1"/>
  <c r="D19" i="29" s="1"/>
  <c r="D30" i="62" l="1"/>
  <c r="E18" i="29" l="1"/>
  <c r="E19" i="29" l="1"/>
  <c r="F18"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<sst xmlns="http://schemas.openxmlformats.org/spreadsheetml/2006/main" count="1504" uniqueCount="771">
  <si>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</si>
  <si>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</si>
  <si>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</si>
  <si>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</si>
  <si>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</si>
  <si>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</si>
  <si>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</si>
  <si>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</si>
  <si>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</si>
  <si>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</si>
  <si>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</si>
  <si>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</si>
  <si>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</si>
  <si>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</si>
  <si>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</si>
  <si>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</si>
  <si>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</si>
  <si>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</si>
  <si>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</si>
  <si>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</si>
  <si>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</si>
  <si>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</si>
  <si>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</si>
  <si>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</si>
  <si>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</si>
  <si>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</si>
  <si>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</si>
  <si>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</si>
  <si>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</si>
  <si>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</si>
  <si>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</si>
  <si>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</si>
  <si>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</si>
  <si>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</si>
  <si>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</si>
  <si>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</si>
  <si>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</si>
  <si>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</si>
  <si>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</si>
  <si>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</si>
  <si>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</si>
  <si>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</si>
  <si>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</si>
  <si>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</si>
  <si>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</si>
  <si>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</si>
  <si>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</si>
  <si>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</si>
  <si>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</si>
  <si>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</si>
  <si>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</si>
  <si>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</si>
  <si>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</si>
  <si>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</si>
  <si>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</si>
  <si>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</si>
  <si>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</si>
  <si>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</si>
  <si>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</si>
  <si>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</si>
  <si>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</si>
  <si>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</si>
  <si>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</si>
  <si>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</si>
  <si>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</si>
  <si>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</si>
  <si>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</si>
  <si>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</si>
  <si>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</si>
  <si>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</si>
  <si>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</si>
  <si>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</si>
  <si>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</si>
  <si>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</si>
  <si>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</si>
  <si>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</si>
  <si>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</si>
  <si>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</si>
  <si>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</si>
  <si>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</si>
  <si>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</si>
  <si>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</si>
  <si>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</si>
  <si>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</si>
  <si>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</si>
  <si>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</si>
  <si>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</si>
  <si>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</si>
  <si>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</si>
  <si>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</si>
  <si>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</si>
  <si>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</si>
  <si>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</si>
  <si>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</si>
  <si>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</si>
  <si>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</si>
  <si>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</si>
  <si>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</si>
  <si>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</si>
  <si>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</si>
  <si>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</si>
  <si>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</si>
  <si>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</si>
  <si>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</si>
  <si>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</si>
  <si>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</si>
  <si>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</si>
  <si>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</si>
  <si>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</si>
  <si>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</si>
  <si>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</si>
  <si>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</si>
  <si>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</si>
  <si>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</si>
  <si>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</si>
  <si>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</si>
  <si>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</si>
  <si>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</si>
  <si>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</si>
  <si>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</si>
  <si>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</si>
  <si>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</si>
  <si>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</si>
  <si>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</si>
  <si>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</si>
  <si>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</si>
  <si>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</si>
  <si>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</si>
  <si>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</si>
  <si>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</si>
  <si>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</si>
  <si>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</si>
  <si>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</si>
  <si>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</si>
  <si>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</si>
  <si>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</si>
  <si>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</si>
  <si>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</si>
  <si>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</si>
  <si>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</si>
  <si>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</si>
  <si>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</si>
  <si>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</si>
  <si>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</si>
  <si>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</si>
  <si>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</si>
  <si>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</si>
  <si>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</si>
  <si>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</si>
  <si>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</si>
  <si>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</si>
  <si>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</si>
  <si>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</si>
  <si>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</si>
  <si>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</si>
  <si>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</si>
  <si>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</si>
  <si>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</si>
  <si>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</si>
  <si>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</si>
  <si>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</si>
  <si>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</si>
  <si>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</si>
  <si>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</si>
  <si>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</si>
  <si>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</si>
  <si>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</si>
  <si>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</si>
  <si>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</si>
  <si>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</si>
  <si>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</si>
  <si>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</si>
  <si>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</si>
  <si>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</si>
  <si>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</si>
  <si>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</si>
  <si>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</si>
  <si>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</si>
  <si>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</si>
  <si>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</si>
  <si>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</si>
  <si>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</si>
  <si>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</si>
  <si>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</si>
  <si>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</si>
  <si>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</si>
  <si>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</si>
  <si>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</si>
  <si>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</si>
  <si>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</si>
  <si>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</si>
  <si>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</si>
  <si>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</si>
  <si>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</si>
  <si>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</si>
  <si>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</si>
  <si>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</si>
  <si>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</si>
  <si>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</si>
  <si>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</si>
  <si>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</si>
  <si>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</si>
  <si>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</si>
  <si>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</si>
  <si>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</si>
  <si>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</si>
  <si>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</si>
  <si>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</si>
  <si>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</si>
  <si>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</si>
  <si>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</si>
  <si>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</si>
  <si>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</si>
  <si>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</si>
  <si>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</si>
  <si>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</si>
  <si>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</si>
  <si>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</si>
  <si>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</si>
  <si>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</si>
  <si>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</si>
  <si>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</si>
  <si>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</si>
  <si>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</si>
  <si>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</si>
  <si>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</si>
  <si>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</si>
  <si>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</si>
  <si>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</si>
  <si>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</si>
  <si>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</si>
  <si>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</si>
  <si>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</si>
  <si>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</si>
  <si>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</si>
  <si>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</si>
  <si>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</si>
  <si>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</si>
  <si>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</si>
  <si>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</si>
  <si>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</si>
  <si>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</si>
  <si>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</si>
  <si>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</si>
  <si>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</si>
  <si>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</si>
  <si>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</si>
  <si>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</si>
  <si>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</si>
  <si>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</si>
  <si>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</si>
  <si>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</si>
  <si>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</si>
  <si>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</si>
  <si>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</si>
  <si>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</si>
  <si>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</si>
  <si>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</si>
  <si>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</si>
  <si>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</si>
  <si>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</si>
  <si>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</si>
  <si>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</si>
  <si>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</si>
  <si>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</si>
  <si>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</si>
  <si>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</si>
  <si>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</si>
  <si>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</si>
  <si>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</si>
  <si>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</si>
  <si>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</si>
  <si>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</si>
  <si>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</si>
  <si>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</si>
  <si>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</si>
  <si>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</si>
  <si>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</si>
  <si>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</si>
  <si>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</si>
  <si>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</si>
  <si>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</si>
  <si>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</si>
  <si>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</si>
  <si>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</si>
  <si>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</si>
  <si>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</si>
  <si>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</si>
  <si>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</si>
  <si>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</si>
  <si>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</si>
  <si>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</si>
  <si>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</si>
  <si>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</si>
  <si>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</si>
  <si>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</si>
  <si>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</si>
  <si>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</si>
  <si>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</si>
  <si>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</si>
  <si>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</si>
  <si>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</si>
  <si>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</si>
  <si>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</si>
  <si>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</si>
  <si>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</si>
  <si>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</si>
  <si>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</si>
  <si>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</si>
  <si>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</si>
  <si>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</si>
  <si>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</si>
  <si>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</si>
  <si>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</si>
  <si>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</si>
  <si>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</si>
  <si>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</si>
  <si>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</si>
  <si>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</si>
  <si>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</si>
  <si>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</si>
  <si>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</si>
  <si>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</si>
  <si>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</si>
  <si>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</si>
  <si>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</si>
  <si>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</si>
  <si>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</si>
  <si>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</si>
  <si>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</si>
  <si>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</si>
  <si>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</si>
  <si>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</si>
  <si>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</si>
  <si>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</si>
  <si>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</si>
  <si>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</si>
  <si>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</si>
  <si>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</si>
  <si>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</si>
  <si>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</si>
  <si>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</si>
  <si>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</si>
  <si>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</si>
  <si>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</si>
  <si>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</si>
  <si>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</si>
  <si>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</si>
  <si>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</si>
  <si>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</si>
  <si>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</si>
  <si>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</si>
  <si>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</si>
  <si>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</si>
  <si>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</si>
  <si>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</si>
  <si>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</si>
  <si>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</si>
  <si>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</si>
  <si>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</si>
  <si>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</si>
  <si>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</si>
  <si>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</si>
  <si>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</si>
  <si>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</si>
  <si>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</si>
  <si>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</si>
  <si>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</si>
  <si>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</si>
  <si>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</si>
  <si>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</si>
  <si>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</si>
  <si>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</si>
  <si>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</si>
  <si>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</si>
  <si>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</si>
  <si>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</si>
  <si>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</si>
  <si>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</si>
  <si>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</si>
  <si>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</si>
  <si>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</si>
  <si>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</si>
  <si>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</si>
  <si>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</si>
  <si>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</si>
  <si>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</si>
  <si>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</si>
  <si>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</si>
  <si>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</si>
  <si>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</si>
  <si>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</si>
  <si>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</si>
  <si>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</si>
  <si>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</si>
  <si>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</si>
  <si>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</si>
  <si>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</si>
  <si>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</si>
  <si>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</si>
  <si>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</si>
  <si>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</si>
  <si>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</si>
  <si>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</si>
  <si>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</si>
  <si>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</si>
  <si>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</si>
  <si>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</si>
  <si>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</si>
  <si>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</si>
  <si>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</si>
  <si>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</si>
  <si>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</si>
  <si>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</si>
  <si>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</si>
  <si>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</si>
  <si>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</si>
  <si>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</si>
  <si>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</si>
  <si>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</si>
  <si>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</si>
  <si>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</si>
  <si>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</si>
  <si>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</si>
  <si>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</si>
  <si>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</si>
  <si>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</si>
  <si>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</si>
  <si>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</si>
  <si>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</si>
  <si>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</si>
  <si>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</si>
  <si>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</si>
  <si>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</si>
  <si>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</si>
  <si>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</si>
  <si>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</si>
  <si>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</si>
  <si>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</si>
  <si>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</si>
  <si>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</si>
  <si>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</si>
  <si>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</si>
  <si>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</si>
  <si>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</si>
  <si>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</si>
  <si>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</si>
  <si>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</si>
  <si>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</si>
  <si>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</si>
  <si>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</si>
  <si>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</si>
  <si>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</si>
  <si>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</si>
  <si>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</si>
  <si>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</si>
  <si>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</si>
  <si>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</si>
  <si>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</si>
  <si>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</si>
  <si>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</si>
  <si>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</si>
  <si>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</si>
  <si>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</si>
  <si>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</si>
  <si>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</si>
  <si>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</si>
  <si>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</si>
  <si>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</si>
  <si>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</si>
  <si>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</si>
  <si>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</si>
  <si>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</si>
  <si>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</si>
  <si>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</si>
  <si>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</si>
  <si>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</si>
  <si>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</si>
  <si>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</si>
  <si>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</si>
  <si>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</si>
  <si>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</si>
  <si>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</si>
  <si>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</si>
  <si>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</si>
  <si>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</si>
  <si>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</si>
  <si>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</si>
  <si>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</si>
  <si>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</si>
  <si>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</si>
  <si>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</si>
  <si>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</si>
  <si>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</si>
  <si>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</si>
  <si>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</si>
  <si>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</si>
  <si>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</si>
  <si>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</si>
  <si>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</si>
  <si>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</si>
  <si>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</si>
  <si>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</si>
  <si>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</si>
  <si>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</si>
  <si>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</si>
  <si>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</si>
  <si>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</si>
  <si>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</si>
  <si>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</si>
  <si>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</si>
  <si>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</si>
  <si>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</si>
  <si>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</si>
  <si>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</si>
  <si>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</si>
  <si>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</si>
  <si>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</si>
  <si>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</si>
  <si>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</si>
  <si>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</si>
  <si>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</si>
  <si>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</si>
  <si>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</si>
  <si>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</si>
  <si>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</si>
  <si>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</si>
  <si>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</si>
  <si>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</si>
  <si>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</si>
  <si>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</si>
  <si>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</si>
  <si>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</si>
  <si>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</si>
  <si>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</si>
  <si>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</si>
  <si>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</si>
  <si>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</si>
  <si>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</si>
  <si>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</si>
  <si>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</si>
  <si>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</si>
  <si>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</si>
  <si>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</si>
  <si>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</si>
  <si>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</si>
  <si>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</si>
  <si>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</si>
  <si>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</si>
  <si>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</si>
  <si>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</si>
  <si>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</si>
  <si>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</si>
  <si>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</si>
  <si>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</si>
  <si>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</si>
  <si>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</si>
  <si>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</si>
  <si>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</si>
  <si>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</si>
  <si>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</si>
  <si>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</si>
  <si>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</si>
  <si>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</si>
  <si>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</si>
  <si>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</si>
  <si>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</si>
  <si>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</si>
  <si>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</si>
  <si>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</si>
  <si>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</si>
  <si>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</si>
  <si>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</si>
  <si>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</si>
  <si>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</si>
  <si>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</si>
  <si>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</si>
  <si>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</si>
  <si>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</si>
  <si>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</si>
  <si>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</si>
  <si>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</si>
  <si>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</si>
  <si>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</si>
  <si>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</si>
  <si>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</si>
  <si>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</si>
  <si>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</si>
  <si>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</si>
  <si>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</si>
  <si>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</si>
  <si>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</si>
  <si>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</si>
  <si>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</si>
  <si>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</si>
  <si>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</si>
  <si>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</si>
  <si>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</si>
  <si>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</si>
  <si>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</si>
  <si>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</si>
  <si>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</si>
  <si>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</si>
  <si>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</si>
  <si>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</si>
  <si>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</si>
  <si>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</si>
  <si>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</si>
  <si>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</si>
  <si>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</si>
  <si>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</si>
  <si>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</si>
  <si>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</si>
  <si>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</si>
  <si>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</si>
  <si>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</si>
  <si>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</si>
  <si>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</si>
  <si>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</si>
  <si>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</si>
  <si>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</si>
  <si>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</si>
  <si>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</si>
  <si>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</si>
  <si>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</si>
  <si>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</si>
  <si>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</si>
  <si>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</si>
  <si>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</si>
  <si>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</si>
  <si>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</si>
  <si>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</si>
  <si>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</si>
  <si>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</si>
  <si>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</si>
  <si>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</si>
  <si>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</si>
  <si>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</si>
  <si>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</si>
  <si>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</si>
  <si>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</si>
  <si>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</si>
  <si>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</si>
  <si>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</si>
  <si>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</si>
  <si>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</si>
  <si>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</si>
  <si>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</si>
  <si>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</si>
  <si>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</si>
  <si>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</si>
  <si>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</si>
  <si>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</si>
  <si>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</si>
  <si>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</si>
  <si>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</si>
  <si>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</si>
  <si>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</si>
  <si>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</si>
  <si>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</si>
  <si>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</si>
  <si>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</si>
  <si>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</si>
  <si>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</si>
  <si>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</si>
  <si>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</si>
  <si>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</si>
  <si>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</si>
  <si>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</si>
  <si>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</si>
  <si>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</si>
  <si>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</si>
  <si>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</si>
  <si>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</si>
  <si>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</si>
  <si>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</si>
  <si>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</si>
  <si>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</si>
  <si>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</si>
  <si>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</si>
  <si>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</si>
  <si>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</si>
  <si>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</si>
  <si>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</si>
  <si>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</si>
  <si>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</si>
  <si>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</si>
  <si>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</si>
  <si>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</si>
  <si>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</si>
  <si>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</si>
  <si>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</si>
  <si>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</si>
  <si>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</si>
  <si>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</si>
  <si>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</si>
  <si>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</si>
  <si>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Godown</t>
  </si>
  <si>
    <t>Generator</t>
  </si>
  <si>
    <t>Agri Drone &amp; Accessories</t>
  </si>
  <si>
    <t>Tractor</t>
  </si>
  <si>
    <t>CCTV set</t>
  </si>
  <si>
    <t>Computer &amp; Printer</t>
  </si>
  <si>
    <t>Other Pre-operative expenses</t>
  </si>
  <si>
    <t>Furniture</t>
  </si>
  <si>
    <t>Security Guard</t>
  </si>
  <si>
    <t>BBF Planter</t>
  </si>
  <si>
    <t>Rotawetor</t>
  </si>
  <si>
    <t>Trolly</t>
  </si>
  <si>
    <t>Boom Sprayer</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</si>
  <si>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</si>
  <si>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</si>
  <si>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</si>
  <si>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</si>
  <si>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</si>
  <si>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</si>
  <si>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</si>
  <si>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</si>
  <si>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</si>
  <si>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</si>
  <si>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Machinery Shed</t>
  </si>
  <si>
    <t>Manager</t>
  </si>
  <si>
    <t>Managing Director</t>
  </si>
  <si>
    <t>Rate of Interest assumed as 10%</t>
  </si>
  <si>
    <t>Moratorium Period 12 Months</t>
  </si>
  <si>
    <t>Tons/Hour</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</si>
  <si>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</si>
  <si>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</si>
  <si>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</si>
  <si>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</si>
  <si>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</si>
  <si>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</si>
  <si>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</si>
  <si>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</si>
  <si>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</si>
  <si>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</si>
  <si>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</si>
  <si>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</si>
  <si>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</si>
  <si>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</si>
  <si>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Gram</t>
  </si>
  <si>
    <t>Tur</t>
  </si>
  <si>
    <t>Trailor / Trolly</t>
  </si>
  <si>
    <t>M G Plough</t>
  </si>
  <si>
    <t>Cultivator</t>
  </si>
  <si>
    <t>Seed cum Fertilizer  Drill</t>
  </si>
  <si>
    <t>Tractor-Insurance And passing</t>
  </si>
  <si>
    <t>In feed hopper</t>
  </si>
  <si>
    <t>Bucket Elevator-21 ft</t>
  </si>
  <si>
    <t>Vibro Cleaner</t>
  </si>
  <si>
    <t>Bucket Elevator-16 ft</t>
  </si>
  <si>
    <t>Vibro Destoner</t>
  </si>
  <si>
    <t>Aspiration System-With blower</t>
  </si>
  <si>
    <t>Plate Magnet</t>
  </si>
  <si>
    <t>Bucket Elevator</t>
  </si>
  <si>
    <t>Gravity Separator</t>
  </si>
  <si>
    <t>Central Aspiration</t>
  </si>
  <si>
    <t>Machinery Pipping-Set</t>
  </si>
  <si>
    <t>Installation</t>
  </si>
  <si>
    <t>Colour Sortex Machine</t>
  </si>
  <si>
    <t>1 TPH</t>
  </si>
  <si>
    <t>Compressor</t>
  </si>
  <si>
    <t>15 HP</t>
  </si>
  <si>
    <t>62.5 KVA</t>
  </si>
  <si>
    <t>Electrification fitting &amp; Panel Board</t>
  </si>
  <si>
    <t>10 TPH</t>
  </si>
  <si>
    <t>5 TPH</t>
  </si>
  <si>
    <t>Weight Bridge</t>
  </si>
  <si>
    <t>50 Ton</t>
  </si>
  <si>
    <t>Net Owned fund-Working capital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</si>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</sst>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indexed="8"/>
      <name val="Calibri"/>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497">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6" fillId="0" borderId="0" xfId="0" applyFont="1" applyAlignment="1">
      <alignment horizontal="center"/>
    </xf>
    <xf numFmtId="0" fontId="15" fillId="0" borderId="0" xfId="6" applyFont="1" applyFill="1" applyBorder="1" applyAlignment="1">
      <alignment horizontal="center"/>
    </xf>
    <xf numFmtId="0" fontId="42" fillId="6" borderId="1" xfId="0" applyFont="1" applyFill="1" applyBorder="1" applyAlignment="1">
      <alignment horizontal="center" vertical="center" wrapText="1"/>
    </xf>
    <xf numFmtId="0" fontId="18" fillId="0" borderId="1" xfId="0" applyFont="1" applyBorder="1"/>
    <xf numFmtId="0" fontId="17" fillId="0" borderId="1" xfId="0" applyFont="1" applyFill="1" applyBorder="1"/>
    <xf numFmtId="9" fontId="17" fillId="0" borderId="0" xfId="0" applyNumberFormat="1" applyFont="1" applyFill="1" applyBorder="1"/>
    <xf numFmtId="0" fontId="68" fillId="0" borderId="1" xfId="0" applyFont="1" applyBorder="1"/>
    <xf numFmtId="168" fontId="14" fillId="0" borderId="1" xfId="3" applyNumberFormat="1" applyFont="1" applyFill="1" applyBorder="1"/>
    <xf numFmtId="164" fontId="0" fillId="0" borderId="0" xfId="0" applyNumberFormat="1"/>
    <xf numFmtId="0" fontId="14" fillId="0" borderId="0" xfId="0" applyFont="1" applyBorder="1"/>
    <xf numFmtId="178" fontId="27" fillId="6" borderId="1" xfId="2" applyNumberFormat="1" applyFont="1" applyFill="1" applyBorder="1"/>
    <xf numFmtId="164" fontId="27" fillId="6" borderId="1" xfId="2" applyNumberFormat="1" applyFont="1" applyFill="1" applyBorder="1"/>
    <xf numFmtId="170" fontId="0" fillId="0" borderId="0" xfId="2" applyNumberFormat="1" applyFont="1"/>
    <xf numFmtId="10" fontId="6" fillId="0" borderId="1" xfId="0" applyNumberFormat="1" applyFont="1" applyBorder="1"/>
    <xf numFmtId="0" fontId="42" fillId="6" borderId="1" xfId="0" applyFont="1" applyFill="1" applyBorder="1" applyAlignment="1">
      <alignment horizontal="center" vertical="center" wrapText="1"/>
    </xf>
    <xf numFmtId="3" fontId="0" fillId="0" borderId="0" xfId="0" applyNumberFormat="1"/>
    <xf numFmtId="2" fontId="0" fillId="0" borderId="0" xfId="0" applyNumberFormat="1"/>
    <xf numFmtId="0" fontId="0" fillId="0" borderId="20" xfId="0" applyBorder="1" applyAlignment="1">
      <alignment horizontal="center" vertical="center" wrapText="1"/>
    </xf>
    <xf numFmtId="2" fontId="21" fillId="2" borderId="1" xfId="0" applyNumberFormat="1" applyFont="1" applyFill="1" applyBorder="1" applyAlignment="1">
      <alignment horizontal="right"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zoomScale="130" zoomScaleNormal="130" workbookViewId="0">
      <selection activeCell="A11" sqref="A11"/>
    </sheetView>
  </sheetViews>
  <sheetFormatPr defaultColWidth="9.109375" defaultRowHeight="14.4"/>
  <cols>
    <col min="1" max="1" width="12.88671875" style="372" customWidth="1"/>
    <col min="2" max="2" width="56" style="372" customWidth="1"/>
    <col min="3" max="3" width="26.33203125" style="372" customWidth="1"/>
    <col min="4" max="4" width="20.6640625" style="372" customWidth="1"/>
    <col min="5" max="5" width="26.109375" style="372" customWidth="1"/>
    <col min="6" max="16384" width="9.109375" style="372"/>
  </cols>
  <sheetData>
    <row r="1" spans="1:5" ht="26.25" customHeight="1">
      <c r="A1" s="407" t="s">
        <v>653</v>
      </c>
      <c r="B1" s="407"/>
      <c r="C1" s="407"/>
      <c r="D1" s="407"/>
      <c r="E1" s="407"/>
    </row>
    <row r="2" spans="1:5" ht="26.25" customHeight="1">
      <c r="A2" s="408" t="s">
        <v>649</v>
      </c>
      <c r="B2" s="408"/>
      <c r="C2" s="408"/>
      <c r="D2" s="408"/>
      <c r="E2" s="408"/>
    </row>
    <row r="3" spans="1:5" ht="23.25" customHeight="1">
      <c r="A3" s="409" t="s">
        <v>620</v>
      </c>
      <c r="B3" s="409"/>
      <c r="C3" s="409"/>
      <c r="D3" s="409"/>
      <c r="E3" s="409"/>
    </row>
    <row r="4" spans="1:5" ht="240.75" customHeight="1">
      <c r="A4" s="410" t="s">
        <v>654</v>
      </c>
      <c r="B4" s="410"/>
      <c r="C4" s="410"/>
      <c r="D4" s="410"/>
      <c r="E4" s="410"/>
    </row>
    <row r="5" spans="1:5" ht="23.25" customHeight="1">
      <c r="A5" s="409" t="s">
        <v>621</v>
      </c>
      <c r="B5" s="409"/>
      <c r="C5" s="409"/>
      <c r="D5" s="409"/>
      <c r="E5" s="409"/>
    </row>
    <row r="6" spans="1:5" ht="108" customHeight="1">
      <c r="A6" s="417" t="s">
        <v>692</v>
      </c>
      <c r="B6" s="418"/>
      <c r="C6" s="418"/>
      <c r="D6" s="418"/>
      <c r="E6" s="419"/>
    </row>
    <row r="7" spans="1:5" ht="23.25" customHeight="1">
      <c r="A7" s="420" t="s">
        <v>655</v>
      </c>
      <c r="B7" s="420"/>
      <c r="C7" s="420"/>
      <c r="D7" s="420"/>
      <c r="E7" s="420"/>
    </row>
    <row r="8" spans="1:5" ht="125.25" customHeight="1">
      <c r="A8" s="410" t="s">
        <v>691</v>
      </c>
      <c r="B8" s="410"/>
      <c r="C8" s="410"/>
      <c r="D8" s="410"/>
      <c r="E8" s="410"/>
    </row>
    <row r="9" spans="1:5" ht="23.4">
      <c r="A9" s="409" t="s">
        <v>646</v>
      </c>
      <c r="B9" s="409"/>
      <c r="C9" s="409"/>
      <c r="D9" s="409"/>
      <c r="E9" s="409"/>
    </row>
    <row r="10" spans="1:5">
      <c r="A10" s="372" t="s">
        <v>622</v>
      </c>
      <c r="B10" s="372" t="s">
        <v>151</v>
      </c>
    </row>
    <row r="11" spans="1:5" ht="20.25" customHeight="1">
      <c r="A11" s="376"/>
      <c r="B11" s="421" t="s">
        <v>410</v>
      </c>
      <c r="C11" s="422"/>
      <c r="D11" s="422"/>
      <c r="E11" s="423"/>
    </row>
    <row r="12" spans="1:5">
      <c r="A12" s="377"/>
      <c r="B12" s="411" t="s">
        <v>411</v>
      </c>
      <c r="C12" s="411"/>
      <c r="D12" s="411"/>
      <c r="E12" s="411"/>
    </row>
    <row r="13" spans="1:5" s="381" customFormat="1">
      <c r="A13" s="412"/>
      <c r="B13" s="412"/>
      <c r="C13" s="412"/>
      <c r="D13" s="412"/>
      <c r="E13" s="413"/>
    </row>
    <row r="14" spans="1:5" ht="23.4">
      <c r="A14" s="409" t="s">
        <v>647</v>
      </c>
      <c r="B14" s="409"/>
      <c r="C14" s="409"/>
      <c r="D14" s="409"/>
      <c r="E14" s="409"/>
    </row>
    <row r="15" spans="1:5">
      <c r="A15" s="373" t="s">
        <v>618</v>
      </c>
      <c r="B15" s="373" t="s">
        <v>656</v>
      </c>
      <c r="C15" s="373" t="s">
        <v>455</v>
      </c>
      <c r="D15" s="373" t="s">
        <v>626</v>
      </c>
      <c r="E15" s="373" t="s">
        <v>619</v>
      </c>
    </row>
    <row r="16" spans="1:5">
      <c r="A16" s="382" t="s">
        <v>174</v>
      </c>
      <c r="B16" s="382" t="s">
        <v>657</v>
      </c>
      <c r="C16" s="382"/>
      <c r="D16" s="382"/>
      <c r="E16" s="382"/>
    </row>
    <row r="17" spans="1:5" ht="57.6">
      <c r="A17" s="383" t="s">
        <v>636</v>
      </c>
      <c r="B17" s="374" t="s">
        <v>643</v>
      </c>
      <c r="C17" s="374" t="s">
        <v>688</v>
      </c>
      <c r="D17" s="374" t="s">
        <v>658</v>
      </c>
      <c r="E17" s="374"/>
    </row>
    <row r="18" spans="1:5" ht="72">
      <c r="A18" s="383" t="s">
        <v>637</v>
      </c>
      <c r="B18" s="374" t="s">
        <v>623</v>
      </c>
      <c r="C18" s="374" t="s">
        <v>689</v>
      </c>
      <c r="D18" s="374" t="s">
        <v>659</v>
      </c>
      <c r="E18" s="374"/>
    </row>
    <row r="19" spans="1:5" ht="26.25" customHeight="1">
      <c r="A19" s="383" t="s">
        <v>638</v>
      </c>
      <c r="B19" s="375" t="s">
        <v>650</v>
      </c>
      <c r="C19" s="374" t="s">
        <v>660</v>
      </c>
      <c r="D19" s="374" t="s">
        <v>661</v>
      </c>
      <c r="E19" s="374" t="s">
        <v>648</v>
      </c>
    </row>
    <row r="20" spans="1:5">
      <c r="A20" s="383" t="s">
        <v>639</v>
      </c>
      <c r="B20" s="374" t="s">
        <v>690</v>
      </c>
      <c r="C20" s="374"/>
      <c r="D20" s="374"/>
      <c r="E20" s="374"/>
    </row>
    <row r="21" spans="1:5">
      <c r="A21" s="374">
        <v>4.0999999999999996</v>
      </c>
      <c r="B21" s="374" t="s">
        <v>630</v>
      </c>
      <c r="C21" s="414" t="s">
        <v>662</v>
      </c>
      <c r="D21" s="374" t="s">
        <v>663</v>
      </c>
      <c r="E21" s="374"/>
    </row>
    <row r="22" spans="1:5">
      <c r="A22" s="374">
        <v>4.2</v>
      </c>
      <c r="B22" s="374" t="s">
        <v>634</v>
      </c>
      <c r="C22" s="415"/>
      <c r="D22" s="374" t="s">
        <v>664</v>
      </c>
      <c r="E22" s="374"/>
    </row>
    <row r="23" spans="1:5">
      <c r="A23" s="374">
        <v>4.3</v>
      </c>
      <c r="B23" s="374" t="s">
        <v>631</v>
      </c>
      <c r="C23" s="415"/>
      <c r="D23" s="374" t="s">
        <v>665</v>
      </c>
      <c r="E23" s="374"/>
    </row>
    <row r="24" spans="1:5">
      <c r="A24" s="374">
        <v>4.4000000000000004</v>
      </c>
      <c r="B24" s="374" t="s">
        <v>632</v>
      </c>
      <c r="C24" s="415"/>
      <c r="D24" s="374" t="s">
        <v>666</v>
      </c>
      <c r="E24" s="374"/>
    </row>
    <row r="25" spans="1:5">
      <c r="A25" s="374">
        <v>4.5</v>
      </c>
      <c r="B25" s="374" t="s">
        <v>633</v>
      </c>
      <c r="C25" s="415"/>
      <c r="D25" s="374" t="s">
        <v>667</v>
      </c>
      <c r="E25" s="374"/>
    </row>
    <row r="26" spans="1:5">
      <c r="A26" s="374">
        <v>4.5999999999999996</v>
      </c>
      <c r="B26" s="374" t="s">
        <v>635</v>
      </c>
      <c r="C26" s="416"/>
      <c r="D26" s="374" t="s">
        <v>668</v>
      </c>
      <c r="E26" s="374"/>
    </row>
    <row r="27" spans="1:5" ht="43.2">
      <c r="A27" s="383" t="s">
        <v>640</v>
      </c>
      <c r="B27" s="374" t="s">
        <v>624</v>
      </c>
      <c r="C27" s="374" t="s">
        <v>669</v>
      </c>
      <c r="D27" s="374" t="s">
        <v>694</v>
      </c>
      <c r="E27" s="374"/>
    </row>
    <row r="28" spans="1:5" ht="43.2">
      <c r="A28" s="383" t="s">
        <v>641</v>
      </c>
      <c r="B28" s="374" t="s">
        <v>670</v>
      </c>
      <c r="C28" s="374" t="s">
        <v>671</v>
      </c>
      <c r="D28" s="374" t="s">
        <v>672</v>
      </c>
      <c r="E28" s="374"/>
    </row>
    <row r="29" spans="1:5" ht="28.8">
      <c r="A29" s="383" t="s">
        <v>642</v>
      </c>
      <c r="B29" s="374" t="s">
        <v>625</v>
      </c>
      <c r="C29" s="374" t="s">
        <v>673</v>
      </c>
      <c r="D29" s="374" t="s">
        <v>674</v>
      </c>
      <c r="E29" s="374"/>
    </row>
    <row r="30" spans="1:5">
      <c r="A30" s="382" t="s">
        <v>175</v>
      </c>
      <c r="B30" s="384" t="s">
        <v>675</v>
      </c>
      <c r="C30" s="382"/>
      <c r="D30" s="382"/>
      <c r="E30" s="382"/>
    </row>
    <row r="31" spans="1:5" ht="26.25" customHeight="1">
      <c r="A31" s="385" t="s">
        <v>676</v>
      </c>
      <c r="B31" s="374" t="s">
        <v>627</v>
      </c>
      <c r="C31" s="374"/>
      <c r="D31" s="374" t="s">
        <v>677</v>
      </c>
      <c r="E31" s="374" t="s">
        <v>648</v>
      </c>
    </row>
    <row r="32" spans="1:5">
      <c r="A32" s="385" t="s">
        <v>678</v>
      </c>
      <c r="B32" s="374" t="s">
        <v>628</v>
      </c>
      <c r="C32" s="374"/>
      <c r="D32" s="374" t="s">
        <v>679</v>
      </c>
      <c r="E32" s="374" t="s">
        <v>648</v>
      </c>
    </row>
    <row r="33" spans="1:5">
      <c r="A33" s="385" t="s">
        <v>680</v>
      </c>
      <c r="B33" s="374" t="s">
        <v>629</v>
      </c>
      <c r="C33" s="374"/>
      <c r="D33" s="374" t="s">
        <v>681</v>
      </c>
      <c r="E33" s="374" t="s">
        <v>648</v>
      </c>
    </row>
    <row r="34" spans="1:5" ht="35.25" customHeight="1">
      <c r="A34" s="385" t="s">
        <v>682</v>
      </c>
      <c r="B34" s="374" t="s">
        <v>644</v>
      </c>
      <c r="C34" s="374"/>
      <c r="D34" s="374" t="s">
        <v>683</v>
      </c>
      <c r="E34" s="374" t="s">
        <v>648</v>
      </c>
    </row>
    <row r="35" spans="1:5" ht="35.25" customHeight="1">
      <c r="A35" s="385" t="s">
        <v>684</v>
      </c>
      <c r="B35" s="374" t="s">
        <v>685</v>
      </c>
      <c r="C35" s="374"/>
      <c r="D35" s="374" t="s">
        <v>693</v>
      </c>
      <c r="E35" s="374" t="s">
        <v>648</v>
      </c>
    </row>
    <row r="36" spans="1:5">
      <c r="A36" s="383" t="s">
        <v>686</v>
      </c>
      <c r="B36" s="374" t="s">
        <v>687</v>
      </c>
      <c r="C36" s="374"/>
      <c r="D36" s="374"/>
      <c r="E36" s="374"/>
    </row>
    <row r="37" spans="1:5" ht="21">
      <c r="A37" s="406"/>
      <c r="B37" s="406"/>
      <c r="C37" s="406"/>
      <c r="D37" s="406"/>
      <c r="E37" s="40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13" bottom="0.74803149606299213" header="0.31496062992125984" footer="0.31496062992125984"/>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2"/>
  <sheetViews>
    <sheetView topLeftCell="B154" zoomScale="115" zoomScaleNormal="115" zoomScaleSheetLayoutView="80" workbookViewId="0">
      <selection activeCell="C180" sqref="C180"/>
    </sheetView>
  </sheetViews>
  <sheetFormatPr defaultRowHeight="14.4"/>
  <cols>
    <col min="2" max="2" width="41" customWidth="1"/>
    <col min="3" max="3" width="23.6640625" customWidth="1"/>
    <col min="4" max="4" width="18" bestFit="1" customWidth="1"/>
    <col min="5" max="5" width="18.44140625" customWidth="1"/>
    <col min="6" max="6" width="20.44140625" customWidth="1"/>
    <col min="7" max="7" width="22.44140625" customWidth="1"/>
    <col min="8" max="8" width="19.33203125" bestFit="1" customWidth="1"/>
    <col min="9" max="9" width="25" customWidth="1"/>
    <col min="10" max="10" width="14.88671875" customWidth="1"/>
    <col min="11" max="11" width="14.44140625" customWidth="1"/>
    <col min="12" max="12" width="14.88671875" bestFit="1" customWidth="1"/>
    <col min="13" max="18" width="11.88671875" bestFit="1" customWidth="1"/>
    <col min="19" max="19" width="4.5546875" bestFit="1" customWidth="1"/>
  </cols>
  <sheetData>
    <row r="5" spans="2:12" ht="17.399999999999999">
      <c r="B5" s="472" t="s">
        <v>569</v>
      </c>
      <c r="C5" s="472"/>
      <c r="D5" s="472"/>
      <c r="E5" s="472"/>
      <c r="F5" s="472"/>
      <c r="G5" s="472"/>
      <c r="H5" s="472"/>
      <c r="I5" s="472"/>
      <c r="J5" s="472"/>
    </row>
    <row r="6" spans="2:12" ht="16.8">
      <c r="B6" s="7"/>
      <c r="C6" s="7"/>
      <c r="D6" s="7"/>
      <c r="E6" s="7"/>
      <c r="F6" s="7"/>
      <c r="G6" s="7"/>
      <c r="H6" s="7"/>
      <c r="I6" s="7"/>
      <c r="J6" s="7"/>
    </row>
    <row r="7" spans="2:12" ht="15.6">
      <c r="B7" s="84" t="s">
        <v>29</v>
      </c>
      <c r="C7" s="85" t="s">
        <v>339</v>
      </c>
      <c r="D7" s="85" t="s">
        <v>2</v>
      </c>
      <c r="E7" s="85" t="s">
        <v>3</v>
      </c>
      <c r="F7" s="85" t="s">
        <v>4</v>
      </c>
      <c r="G7" s="85" t="s">
        <v>5</v>
      </c>
      <c r="H7" s="85" t="s">
        <v>6</v>
      </c>
      <c r="I7" s="85" t="s">
        <v>170</v>
      </c>
      <c r="J7" s="85" t="s">
        <v>169</v>
      </c>
      <c r="L7" s="378"/>
    </row>
    <row r="8" spans="2:12">
      <c r="B8" s="86"/>
      <c r="C8" s="86"/>
      <c r="D8" s="86"/>
      <c r="E8" s="86"/>
      <c r="F8" s="86"/>
      <c r="G8" s="86"/>
      <c r="H8" s="86"/>
      <c r="I8" s="86"/>
      <c r="J8" s="86"/>
    </row>
    <row r="9" spans="2:12">
      <c r="B9" s="86" t="s">
        <v>30</v>
      </c>
      <c r="C9" s="86"/>
      <c r="D9" s="87">
        <f>'6.Cons Profit &amp; Loss'!B51</f>
        <v>-206907.52523295116</v>
      </c>
      <c r="E9" s="87">
        <f>'6.Cons Profit &amp; Loss'!C51</f>
        <v>204223.06629509991</v>
      </c>
      <c r="F9" s="87">
        <f>'6.Cons Profit &amp; Loss'!D51</f>
        <v>687207.61523056193</v>
      </c>
      <c r="G9" s="87">
        <f>'6.Cons Profit &amp; Loss'!E51</f>
        <v>1240735.583027475</v>
      </c>
      <c r="H9" s="87">
        <f>'6.Cons Profit &amp; Loss'!F51</f>
        <v>1819594.6667904323</v>
      </c>
      <c r="I9" s="87">
        <f>'6.Cons Profit &amp; Loss'!G51</f>
        <v>2417900.1517924615</v>
      </c>
      <c r="J9" s="87">
        <f>'6.Cons Profit &amp; Loss'!H51</f>
        <v>2867108.9259416424</v>
      </c>
    </row>
    <row r="10" spans="2:12">
      <c r="B10" s="86"/>
      <c r="C10" s="86"/>
      <c r="D10" s="87"/>
      <c r="E10" s="87"/>
      <c r="F10" s="87"/>
      <c r="G10" s="87"/>
      <c r="H10" s="87"/>
      <c r="I10" s="87"/>
      <c r="J10" s="87"/>
    </row>
    <row r="11" spans="2:12">
      <c r="B11" s="88" t="s">
        <v>31</v>
      </c>
      <c r="C11" s="88"/>
      <c r="D11" s="87">
        <f>'6.Cons Profit &amp; Loss'!B42</f>
        <v>1157942.9093999998</v>
      </c>
      <c r="E11" s="87">
        <f>'6.Cons Profit &amp; Loss'!C42</f>
        <v>1157942.9093999998</v>
      </c>
      <c r="F11" s="87">
        <f>'6.Cons Profit &amp; Loss'!D42</f>
        <v>1157942.9093999998</v>
      </c>
      <c r="G11" s="87">
        <f>'6.Cons Profit &amp; Loss'!E42</f>
        <v>1157942.9093999998</v>
      </c>
      <c r="H11" s="87">
        <f>'6.Cons Profit &amp; Loss'!F42</f>
        <v>1157942.9093999998</v>
      </c>
      <c r="I11" s="87">
        <f>'6.Cons Profit &amp; Loss'!G42</f>
        <v>1157942.9093999998</v>
      </c>
      <c r="J11" s="87">
        <f>'6.Cons Profit &amp; Loss'!H42</f>
        <v>1157942.9093999998</v>
      </c>
    </row>
    <row r="12" spans="2:12">
      <c r="B12" s="86" t="s">
        <v>36</v>
      </c>
      <c r="C12" s="86"/>
      <c r="D12" s="87">
        <f>'6.Cons Profit &amp; Loss'!B43</f>
        <v>192780</v>
      </c>
      <c r="E12" s="87">
        <f>'6.Cons Profit &amp; Loss'!C43</f>
        <v>192780</v>
      </c>
      <c r="F12" s="87">
        <f>'6.Cons Profit &amp; Loss'!D43</f>
        <v>192780</v>
      </c>
      <c r="G12" s="87">
        <f>'6.Cons Profit &amp; Loss'!E43</f>
        <v>192780</v>
      </c>
      <c r="H12" s="87">
        <f>'6.Cons Profit &amp; Loss'!F43</f>
        <v>192780</v>
      </c>
      <c r="I12" s="87">
        <f>'6.Cons Profit &amp; Loss'!G43</f>
        <v>0</v>
      </c>
      <c r="J12" s="87">
        <f>'6.Cons Profit &amp; Loss'!H43</f>
        <v>0</v>
      </c>
    </row>
    <row r="13" spans="2:12">
      <c r="B13" s="86"/>
      <c r="C13" s="86"/>
      <c r="D13" s="86"/>
      <c r="E13" s="86"/>
      <c r="F13" s="86"/>
      <c r="G13" s="86"/>
      <c r="H13" s="86"/>
      <c r="I13" s="86"/>
      <c r="J13" s="86"/>
    </row>
    <row r="14" spans="2:12">
      <c r="B14" s="86" t="s">
        <v>32</v>
      </c>
      <c r="C14" s="86"/>
      <c r="D14" s="87">
        <f>SUM(D9:D12)</f>
        <v>1143815.3841670486</v>
      </c>
      <c r="E14" s="87">
        <f t="shared" ref="E14:J14" si="0">SUM(E9:E12)</f>
        <v>1554945.9756950997</v>
      </c>
      <c r="F14" s="87">
        <f t="shared" si="0"/>
        <v>2037930.5246305617</v>
      </c>
      <c r="G14" s="87">
        <f t="shared" si="0"/>
        <v>2591458.4924274748</v>
      </c>
      <c r="H14" s="87">
        <f t="shared" si="0"/>
        <v>3170317.5761904321</v>
      </c>
      <c r="I14" s="87">
        <f t="shared" si="0"/>
        <v>3575843.0611924613</v>
      </c>
      <c r="J14" s="87">
        <f t="shared" si="0"/>
        <v>4025051.8353416421</v>
      </c>
    </row>
    <row r="15" spans="2:12">
      <c r="B15" s="86" t="s">
        <v>348</v>
      </c>
      <c r="C15" s="89">
        <f>-(SUM('1.Project Cost and MOF'!D5:D10)-'1.Project Cost and MOF'!E19)</f>
        <v>-11220279.199999999</v>
      </c>
      <c r="D15" s="87">
        <f>D14</f>
        <v>1143815.3841670486</v>
      </c>
      <c r="E15" s="87">
        <f t="shared" ref="E15:J15" si="1">E14</f>
        <v>1554945.9756950997</v>
      </c>
      <c r="F15" s="87">
        <f t="shared" si="1"/>
        <v>2037930.5246305617</v>
      </c>
      <c r="G15" s="87">
        <f t="shared" si="1"/>
        <v>2591458.4924274748</v>
      </c>
      <c r="H15" s="87">
        <f t="shared" si="1"/>
        <v>3170317.5761904321</v>
      </c>
      <c r="I15" s="87">
        <f t="shared" si="1"/>
        <v>3575843.0611924613</v>
      </c>
      <c r="J15" s="87">
        <f t="shared" si="1"/>
        <v>4025051.8353416421</v>
      </c>
    </row>
    <row r="16" spans="2:12">
      <c r="B16" s="88" t="s">
        <v>281</v>
      </c>
      <c r="C16" s="400">
        <f>IRR(C15:J15)</f>
        <v>0.11002986390258518</v>
      </c>
      <c r="D16" s="87"/>
      <c r="E16" s="87"/>
      <c r="F16" s="87"/>
      <c r="G16" s="87"/>
      <c r="H16" s="87"/>
      <c r="I16" s="87"/>
      <c r="J16" s="87"/>
    </row>
    <row r="17" spans="2:19">
      <c r="B17" s="86"/>
      <c r="C17" s="86"/>
      <c r="D17" s="86"/>
      <c r="E17" s="86"/>
      <c r="F17" s="86"/>
      <c r="G17" s="86"/>
      <c r="H17" s="86"/>
      <c r="I17" s="86"/>
      <c r="J17" s="86"/>
    </row>
    <row r="18" spans="2:19" ht="16.8">
      <c r="B18" s="269" t="s">
        <v>413</v>
      </c>
      <c r="C18" s="269"/>
      <c r="D18" s="270">
        <f>1/(1+$C$16)</f>
        <v>0.90087666333971606</v>
      </c>
      <c r="E18" s="271">
        <f t="shared" ref="E18:J18" si="2">D18/(1+$C$16)</f>
        <v>0.81157876255010009</v>
      </c>
      <c r="F18" s="271">
        <f t="shared" si="2"/>
        <v>0.73113236764350986</v>
      </c>
      <c r="G18" s="271">
        <f t="shared" si="2"/>
        <v>0.65866008782235175</v>
      </c>
      <c r="H18" s="271">
        <f t="shared" si="2"/>
        <v>0.5933715021924445</v>
      </c>
      <c r="I18" s="271">
        <f t="shared" si="2"/>
        <v>0.53455453901600436</v>
      </c>
      <c r="J18" s="271">
        <f t="shared" si="2"/>
        <v>0.48156770948183802</v>
      </c>
      <c r="L18" s="16"/>
      <c r="M18" s="16"/>
      <c r="N18" s="16"/>
      <c r="O18" s="16"/>
      <c r="P18" s="16"/>
      <c r="Q18" s="16"/>
      <c r="R18" s="16"/>
      <c r="S18" s="16"/>
    </row>
    <row r="19" spans="2:19">
      <c r="B19" s="86" t="s">
        <v>33</v>
      </c>
      <c r="C19" s="86"/>
      <c r="D19" s="87">
        <f>D14*D18</f>
        <v>1030436.5867650462</v>
      </c>
      <c r="E19" s="87">
        <f t="shared" ref="E19:J19" si="3">E14*E18</f>
        <v>1261961.1307868869</v>
      </c>
      <c r="F19" s="87">
        <f t="shared" si="3"/>
        <v>1489996.9695661229</v>
      </c>
      <c r="G19" s="87">
        <f t="shared" si="3"/>
        <v>1706890.2782102597</v>
      </c>
      <c r="H19" s="87">
        <f t="shared" si="3"/>
        <v>1881176.1026112263</v>
      </c>
      <c r="I19" s="87">
        <f t="shared" si="3"/>
        <v>1911483.1391693139</v>
      </c>
      <c r="J19" s="87">
        <f t="shared" si="3"/>
        <v>1938334.9928911428</v>
      </c>
      <c r="L19" s="5"/>
    </row>
    <row r="20" spans="2:19">
      <c r="B20" s="86" t="s">
        <v>34</v>
      </c>
      <c r="C20" s="86"/>
      <c r="D20" s="467">
        <f>SUM(D19:J19)</f>
        <v>11220279.199999997</v>
      </c>
      <c r="E20" s="467"/>
      <c r="F20" s="467"/>
      <c r="G20" s="467"/>
      <c r="H20" s="467"/>
      <c r="I20" s="467"/>
      <c r="J20" s="467"/>
      <c r="L20" s="5"/>
    </row>
    <row r="21" spans="2:19">
      <c r="B21" s="86"/>
      <c r="C21" s="86"/>
      <c r="D21" s="87"/>
      <c r="E21" s="87"/>
      <c r="F21" s="87"/>
      <c r="G21" s="87"/>
      <c r="H21" s="87"/>
      <c r="I21" s="87"/>
      <c r="J21" s="87"/>
    </row>
    <row r="22" spans="2:19">
      <c r="B22" s="8" t="s">
        <v>35</v>
      </c>
      <c r="C22" s="8"/>
      <c r="D22" s="468">
        <f>'1.Project Cost and MOF'!D12</f>
        <v>29082452.794700474</v>
      </c>
      <c r="E22" s="468"/>
      <c r="F22" s="468"/>
      <c r="G22" s="468"/>
      <c r="H22" s="468"/>
      <c r="I22" s="468"/>
      <c r="J22" s="468"/>
    </row>
    <row r="23" spans="2:19">
      <c r="F23" s="16">
        <f>D20-D22</f>
        <v>-17862173.594700478</v>
      </c>
    </row>
    <row r="24" spans="2:19" ht="29.4" customHeight="1">
      <c r="B24" s="473" t="s">
        <v>430</v>
      </c>
      <c r="C24" s="473"/>
      <c r="D24" s="473"/>
      <c r="E24" s="473"/>
      <c r="F24" s="473"/>
      <c r="G24" s="473"/>
      <c r="H24" s="473"/>
      <c r="I24" s="473"/>
      <c r="J24" s="473"/>
    </row>
    <row r="25" spans="2:19">
      <c r="K25" s="16"/>
      <c r="L25" s="16"/>
      <c r="M25" s="16"/>
    </row>
    <row r="26" spans="2:19" ht="17.399999999999999">
      <c r="B26" s="428" t="s">
        <v>570</v>
      </c>
      <c r="C26" s="428"/>
      <c r="D26" s="428"/>
      <c r="E26" s="428"/>
      <c r="F26" s="428"/>
      <c r="G26" s="428"/>
      <c r="H26" s="428"/>
      <c r="I26" s="428"/>
    </row>
    <row r="27" spans="2:19">
      <c r="K27" s="16"/>
    </row>
    <row r="28" spans="2:19">
      <c r="B28" s="111" t="s">
        <v>0</v>
      </c>
      <c r="C28" s="102" t="s">
        <v>2</v>
      </c>
      <c r="D28" s="102" t="s">
        <v>3</v>
      </c>
      <c r="E28" s="102" t="s">
        <v>4</v>
      </c>
      <c r="F28" s="102" t="s">
        <v>5</v>
      </c>
      <c r="G28" s="102" t="s">
        <v>6</v>
      </c>
      <c r="H28" s="102" t="s">
        <v>170</v>
      </c>
      <c r="I28" s="102" t="s">
        <v>169</v>
      </c>
    </row>
    <row r="29" spans="2:19">
      <c r="B29" s="93"/>
      <c r="C29" s="93"/>
      <c r="D29" s="93"/>
      <c r="E29" s="93"/>
      <c r="F29" s="93"/>
      <c r="G29" s="93"/>
      <c r="H29" s="93"/>
      <c r="I29" s="93"/>
    </row>
    <row r="30" spans="2:19">
      <c r="B30" s="93" t="s">
        <v>37</v>
      </c>
      <c r="C30" s="93"/>
      <c r="D30" s="93"/>
      <c r="E30" s="93"/>
      <c r="F30" s="93"/>
      <c r="G30" s="93"/>
      <c r="H30" s="93"/>
      <c r="I30" s="93"/>
    </row>
    <row r="31" spans="2:19">
      <c r="B31" s="93"/>
      <c r="C31" s="94"/>
      <c r="D31" s="94"/>
      <c r="E31" s="94"/>
      <c r="F31" s="94"/>
      <c r="G31" s="94"/>
      <c r="H31" s="94"/>
      <c r="I31" s="94"/>
    </row>
    <row r="32" spans="2:19">
      <c r="B32" s="108" t="str">
        <f>'6.Cons Profit &amp; Loss'!A8</f>
        <v>Faclitiy 1 - Cleaning &amp; Grading</v>
      </c>
      <c r="C32" s="94">
        <f>'6.Cons Profit &amp; Loss'!B8</f>
        <v>30388797.094656002</v>
      </c>
      <c r="D32" s="94">
        <f>'6.Cons Profit &amp; Loss'!C8</f>
        <v>36542089.525233597</v>
      </c>
      <c r="E32" s="94">
        <f>'6.Cons Profit &amp; Loss'!D8</f>
        <v>42641848.739231281</v>
      </c>
      <c r="F32" s="94">
        <f>'6.Cons Profit &amp; Loss'!E8</f>
        <v>49260228.650815636</v>
      </c>
      <c r="G32" s="94">
        <f>'6.Cons Profit &amp; Loss'!F8</f>
        <v>56433841.931710385</v>
      </c>
      <c r="H32" s="94">
        <f>'6.Cons Profit &amp; Loss'!G8</f>
        <v>64201665.969067559</v>
      </c>
      <c r="I32" s="94">
        <f>'6.Cons Profit &amp; Loss'!H8</f>
        <v>72605187.805331156</v>
      </c>
    </row>
    <row r="33" spans="2:9">
      <c r="B33" s="108" t="str">
        <f>'6.Cons Profit &amp; Loss'!A9</f>
        <v>Faclitiy 2 - Processing Unit- Dal Mill</v>
      </c>
      <c r="C33" s="94">
        <f>'6.Cons Profit &amp; Loss'!B9</f>
        <v>0</v>
      </c>
      <c r="D33" s="94">
        <f>'6.Cons Profit &amp; Loss'!C9</f>
        <v>0</v>
      </c>
      <c r="E33" s="94">
        <f>'6.Cons Profit &amp; Loss'!D9</f>
        <v>0</v>
      </c>
      <c r="F33" s="94">
        <f>'6.Cons Profit &amp; Loss'!E9</f>
        <v>0</v>
      </c>
      <c r="G33" s="94">
        <f>'6.Cons Profit &amp; Loss'!F9</f>
        <v>0</v>
      </c>
      <c r="H33" s="94">
        <f>'6.Cons Profit &amp; Loss'!G9</f>
        <v>0</v>
      </c>
      <c r="I33" s="94">
        <f>'6.Cons Profit &amp; Loss'!H9</f>
        <v>0</v>
      </c>
    </row>
    <row r="34" spans="2:9">
      <c r="B34" s="108" t="str">
        <f>'6.Cons Profit &amp; Loss'!A10</f>
        <v>Faclitiy 3 - Warehouse</v>
      </c>
      <c r="C34" s="94">
        <f>'6.Cons Profit &amp; Loss'!B10</f>
        <v>1890000</v>
      </c>
      <c r="D34" s="94">
        <f>'6.Cons Profit &amp; Loss'!C10</f>
        <v>2126250</v>
      </c>
      <c r="E34" s="94">
        <f>'6.Cons Profit &amp; Loss'!D10</f>
        <v>2381400</v>
      </c>
      <c r="F34" s="94">
        <f>'6.Cons Profit &amp; Loss'!E10</f>
        <v>2656749.3750000009</v>
      </c>
      <c r="G34" s="94">
        <f>'6.Cons Profit &amp; Loss'!F10</f>
        <v>2953680.1875000009</v>
      </c>
      <c r="H34" s="94">
        <f>'6.Cons Profit &amp; Loss'!G10</f>
        <v>3101364.1968750013</v>
      </c>
      <c r="I34" s="94">
        <f>'6.Cons Profit &amp; Loss'!H10</f>
        <v>3256432.4067187514</v>
      </c>
    </row>
    <row r="35" spans="2:9">
      <c r="B35" s="108" t="str">
        <f>'6.Cons Profit &amp; Loss'!A11</f>
        <v xml:space="preserve">Faclitiy 4 - Custom Hiring </v>
      </c>
      <c r="C35" s="94">
        <f>'6.Cons Profit &amp; Loss'!B11</f>
        <v>3088000</v>
      </c>
      <c r="D35" s="94">
        <f>'6.Cons Profit &amp; Loss'!C11</f>
        <v>3242400</v>
      </c>
      <c r="E35" s="94">
        <f>'6.Cons Profit &amp; Loss'!D11</f>
        <v>3404520</v>
      </c>
      <c r="F35" s="94">
        <f>'6.Cons Profit &amp; Loss'!E11</f>
        <v>3574746.0000000005</v>
      </c>
      <c r="G35" s="94">
        <f>'6.Cons Profit &amp; Loss'!F11</f>
        <v>3753483.3000000003</v>
      </c>
      <c r="H35" s="94">
        <f>'6.Cons Profit &amp; Loss'!G11</f>
        <v>3941157.4650000008</v>
      </c>
      <c r="I35" s="94">
        <f>'6.Cons Profit &amp; Loss'!H11</f>
        <v>4138215.338250001</v>
      </c>
    </row>
    <row r="36" spans="2:9">
      <c r="B36" s="108" t="str">
        <f>'6.Cons Profit &amp; Loss'!A12</f>
        <v>Faclitiy 5 - Agri Input Centre</v>
      </c>
      <c r="C36" s="94">
        <f>'6.Cons Profit &amp; Loss'!B12</f>
        <v>80102219.15519999</v>
      </c>
      <c r="D36" s="94">
        <f>'6.Cons Profit &amp; Loss'!C12</f>
        <v>95455679.208119988</v>
      </c>
      <c r="E36" s="94">
        <f>'6.Cons Profit &amp; Loss'!D12</f>
        <v>111377135.17992604</v>
      </c>
      <c r="F36" s="94">
        <f>'6.Cons Profit &amp; Loss'!E12</f>
        <v>128652097.55089234</v>
      </c>
      <c r="G36" s="94">
        <f>'6.Cons Profit &amp; Loss'!F12</f>
        <v>147376113.32100549</v>
      </c>
      <c r="H36" s="94">
        <f>'6.Cons Profit &amp; Loss'!G12</f>
        <v>167650900.42425269</v>
      </c>
      <c r="I36" s="94">
        <f>'6.Cons Profit &amp; Loss'!H12</f>
        <v>189584725.95452213</v>
      </c>
    </row>
    <row r="37" spans="2:9">
      <c r="B37" s="108" t="str">
        <f>'6.Cons Profit &amp; Loss'!A13</f>
        <v>Facility 6 - Processing Unit - Horti Commodity</v>
      </c>
      <c r="C37" s="94">
        <f>'6.Cons Profit &amp; Loss'!B13</f>
        <v>0</v>
      </c>
      <c r="D37" s="94">
        <f>'6.Cons Profit &amp; Loss'!C13</f>
        <v>0</v>
      </c>
      <c r="E37" s="94">
        <f>'6.Cons Profit &amp; Loss'!D13</f>
        <v>0</v>
      </c>
      <c r="F37" s="94">
        <f>'6.Cons Profit &amp; Loss'!E13</f>
        <v>0</v>
      </c>
      <c r="G37" s="94">
        <f>'6.Cons Profit &amp; Loss'!F13</f>
        <v>0</v>
      </c>
      <c r="H37" s="94">
        <f>'6.Cons Profit &amp; Loss'!G13</f>
        <v>0</v>
      </c>
      <c r="I37" s="94">
        <f>'6.Cons Profit &amp; Loss'!H13</f>
        <v>0</v>
      </c>
    </row>
    <row r="38" spans="2:9">
      <c r="B38" s="108"/>
      <c r="C38" s="108"/>
      <c r="D38" s="108"/>
      <c r="E38" s="108"/>
      <c r="F38" s="108"/>
      <c r="G38" s="108"/>
      <c r="H38" s="108"/>
      <c r="I38" s="108"/>
    </row>
    <row r="39" spans="2:9">
      <c r="B39" s="93" t="s">
        <v>8</v>
      </c>
      <c r="C39" s="94">
        <f>SUM(C32:C38)</f>
        <v>115469016.249856</v>
      </c>
      <c r="D39" s="94">
        <f t="shared" ref="D39:I39" si="4">SUM(D32:D38)</f>
        <v>137366418.73335359</v>
      </c>
      <c r="E39" s="94">
        <f t="shared" si="4"/>
        <v>159804903.91915733</v>
      </c>
      <c r="F39" s="94">
        <f t="shared" si="4"/>
        <v>184143821.57670796</v>
      </c>
      <c r="G39" s="94">
        <f t="shared" si="4"/>
        <v>210517118.74021587</v>
      </c>
      <c r="H39" s="94">
        <f t="shared" si="4"/>
        <v>238895088.05519527</v>
      </c>
      <c r="I39" s="94">
        <f t="shared" si="4"/>
        <v>269584561.50482202</v>
      </c>
    </row>
    <row r="40" spans="2:9">
      <c r="B40" s="93"/>
      <c r="C40" s="94"/>
      <c r="D40" s="94"/>
      <c r="E40" s="94"/>
      <c r="F40" s="94"/>
      <c r="G40" s="94"/>
      <c r="H40" s="94"/>
      <c r="I40" s="94"/>
    </row>
    <row r="41" spans="2:9">
      <c r="B41" s="93" t="s">
        <v>38</v>
      </c>
      <c r="C41" s="94">
        <f>'6.Cons Profit &amp; Loss'!B25</f>
        <v>110629759.82359678</v>
      </c>
      <c r="D41" s="94">
        <f>'6.Cons Profit &amp; Loss'!C25</f>
        <v>131868199.13397193</v>
      </c>
      <c r="E41" s="94">
        <f>'6.Cons Profit &amp; Loss'!D25</f>
        <v>153677816.17443615</v>
      </c>
      <c r="F41" s="94">
        <f>'6.Cons Profit &amp; Loss'!E25</f>
        <v>177344461.18394434</v>
      </c>
      <c r="G41" s="94">
        <f>'6.Cons Profit &amp; Loss'!F25</f>
        <v>202987552.55299321</v>
      </c>
      <c r="H41" s="94">
        <f>'6.Cons Profit &amp; Loss'!G25</f>
        <v>230751466.53867239</v>
      </c>
      <c r="I41" s="94">
        <f>'6.Cons Profit &amp; Loss'!H25</f>
        <v>260791075.69729137</v>
      </c>
    </row>
    <row r="42" spans="2:9">
      <c r="B42" s="93"/>
      <c r="C42" s="94"/>
      <c r="D42" s="94"/>
      <c r="E42" s="94"/>
      <c r="F42" s="94"/>
      <c r="G42" s="94"/>
      <c r="H42" s="94"/>
      <c r="I42" s="94"/>
    </row>
    <row r="43" spans="2:9">
      <c r="B43" s="95" t="s">
        <v>39</v>
      </c>
      <c r="C43" s="113">
        <f>C39-C41</f>
        <v>4839256.4262592196</v>
      </c>
      <c r="D43" s="113">
        <f t="shared" ref="D43:I43" si="5">D39-D41</f>
        <v>5498219.5993816555</v>
      </c>
      <c r="E43" s="113">
        <f t="shared" si="5"/>
        <v>6127087.7447211742</v>
      </c>
      <c r="F43" s="113">
        <f t="shared" si="5"/>
        <v>6799360.3927636147</v>
      </c>
      <c r="G43" s="113">
        <f t="shared" si="5"/>
        <v>7529566.1872226596</v>
      </c>
      <c r="H43" s="113">
        <f t="shared" si="5"/>
        <v>8143621.5165228844</v>
      </c>
      <c r="I43" s="113">
        <f t="shared" si="5"/>
        <v>8793485.8075306416</v>
      </c>
    </row>
    <row r="44" spans="2:9">
      <c r="B44" s="93"/>
      <c r="C44" s="94"/>
      <c r="D44" s="94"/>
      <c r="E44" s="94"/>
      <c r="F44" s="94"/>
      <c r="G44" s="94"/>
      <c r="H44" s="94"/>
      <c r="I44" s="94"/>
    </row>
    <row r="45" spans="2:9">
      <c r="B45" s="95" t="s">
        <v>41</v>
      </c>
      <c r="C45" s="113">
        <f>'6.Cons Profit &amp; Loss'!B36+'6.Cons Profit &amp; Loss'!B42+'6.Cons Profit &amp; Loss'!B43</f>
        <v>3496602.9093999998</v>
      </c>
      <c r="D45" s="113">
        <f>'6.Cons Profit &amp; Loss'!C36+'6.Cons Profit &amp; Loss'!C42+'6.Cons Profit &amp; Loss'!C43</f>
        <v>3544696.9093999998</v>
      </c>
      <c r="E45" s="113">
        <f>'6.Cons Profit &amp; Loss'!D36+'6.Cons Profit &amp; Loss'!D42+'6.Cons Profit &amp; Loss'!D43</f>
        <v>3631931.7093999996</v>
      </c>
      <c r="F45" s="113">
        <f>'6.Cons Profit &amp; Loss'!E36+'6.Cons Profit &amp; Loss'!E42+'6.Cons Profit &amp; Loss'!E43</f>
        <v>3686457.5518999998</v>
      </c>
      <c r="G45" s="113">
        <f>'6.Cons Profit &amp; Loss'!F36+'6.Cons Profit &amp; Loss'!F42+'6.Cons Profit &amp; Loss'!F43</f>
        <v>3780473.87665</v>
      </c>
      <c r="H45" s="113">
        <f>'6.Cons Profit &amp; Loss'!G36+'6.Cons Profit &amp; Loss'!G42+'6.Cons Profit &amp; Loss'!G43</f>
        <v>3642707.6250124997</v>
      </c>
      <c r="I45" s="113">
        <f>'6.Cons Profit &amp; Loss'!H36+'6.Cons Profit &amp; Loss'!H42+'6.Cons Profit &amp; Loss'!H43</f>
        <v>3727970.1107931254</v>
      </c>
    </row>
    <row r="46" spans="2:9">
      <c r="B46" s="93"/>
      <c r="C46" s="93"/>
      <c r="D46" s="93"/>
      <c r="E46" s="93"/>
      <c r="F46" s="93"/>
      <c r="G46" s="93"/>
      <c r="H46" s="93"/>
      <c r="I46" s="93"/>
    </row>
    <row r="47" spans="2:9">
      <c r="B47" s="93" t="s">
        <v>40</v>
      </c>
      <c r="C47" s="112">
        <f>C45/C43</f>
        <v>0.72254962362118491</v>
      </c>
      <c r="D47" s="112">
        <f>D45/D43</f>
        <v>0.64469904217697049</v>
      </c>
      <c r="E47" s="112">
        <f>E45/E43</f>
        <v>0.59276639420238597</v>
      </c>
      <c r="F47" s="112">
        <f>F45/F43</f>
        <v>0.54217710769139438</v>
      </c>
      <c r="G47" s="112">
        <f>G45/G43</f>
        <v>0.50208388938333481</v>
      </c>
      <c r="H47" s="112">
        <f t="shared" ref="H47:I47" si="6">H45/H43</f>
        <v>0.44730807020214292</v>
      </c>
      <c r="I47" s="112">
        <f t="shared" si="6"/>
        <v>0.42394679338659236</v>
      </c>
    </row>
    <row r="48" spans="2:9">
      <c r="B48" s="92"/>
      <c r="C48" s="201"/>
      <c r="D48" s="92"/>
      <c r="E48" s="201"/>
      <c r="F48" s="92"/>
      <c r="G48" s="92"/>
      <c r="H48" s="92"/>
      <c r="I48" s="92"/>
    </row>
    <row r="49" spans="2:10">
      <c r="B49" s="114" t="s">
        <v>133</v>
      </c>
      <c r="C49" s="115">
        <f>AVERAGE(C47:I47)</f>
        <v>0.55364727438057226</v>
      </c>
      <c r="D49" s="92"/>
      <c r="E49" s="92"/>
      <c r="F49" s="92"/>
      <c r="G49" s="92"/>
      <c r="H49" s="92"/>
      <c r="I49" s="92"/>
    </row>
    <row r="51" spans="2:10" ht="41.4" customHeight="1">
      <c r="B51" s="474" t="s">
        <v>431</v>
      </c>
      <c r="C51" s="474"/>
      <c r="D51" s="474"/>
      <c r="E51" s="474"/>
      <c r="F51" s="474"/>
      <c r="G51" s="474"/>
      <c r="H51" s="474"/>
      <c r="I51" s="474"/>
      <c r="J51" s="474"/>
    </row>
    <row r="54" spans="2:10" ht="17.399999999999999">
      <c r="B54" s="428" t="s">
        <v>571</v>
      </c>
      <c r="C54" s="428"/>
      <c r="D54" s="428"/>
      <c r="E54" s="428"/>
      <c r="F54" s="428"/>
      <c r="G54" s="428"/>
      <c r="H54" s="428"/>
      <c r="I54" s="428"/>
    </row>
    <row r="56" spans="2:10">
      <c r="B56" s="80" t="s">
        <v>29</v>
      </c>
      <c r="C56" s="81" t="s">
        <v>2</v>
      </c>
      <c r="D56" s="81" t="s">
        <v>3</v>
      </c>
      <c r="E56" s="81" t="s">
        <v>4</v>
      </c>
      <c r="F56" s="81" t="s">
        <v>5</v>
      </c>
      <c r="G56" s="81" t="s">
        <v>6</v>
      </c>
      <c r="H56" s="81" t="s">
        <v>170</v>
      </c>
      <c r="I56" s="81" t="s">
        <v>169</v>
      </c>
    </row>
    <row r="57" spans="2:10">
      <c r="B57" s="93"/>
      <c r="C57" s="93"/>
      <c r="D57" s="93"/>
      <c r="E57" s="93"/>
      <c r="F57" s="93"/>
      <c r="G57" s="93"/>
      <c r="H57" s="93"/>
      <c r="I57" s="93"/>
    </row>
    <row r="58" spans="2:10">
      <c r="B58" s="93" t="s">
        <v>379</v>
      </c>
      <c r="C58" s="338">
        <f>'6.Cons Profit &amp; Loss'!B51</f>
        <v>-206907.52523295116</v>
      </c>
      <c r="D58" s="338">
        <f>'6.Cons Profit &amp; Loss'!C51</f>
        <v>204223.06629509991</v>
      </c>
      <c r="E58" s="338">
        <f>'6.Cons Profit &amp; Loss'!D51</f>
        <v>687207.61523056193</v>
      </c>
      <c r="F58" s="338">
        <f>'6.Cons Profit &amp; Loss'!E51</f>
        <v>1240735.583027475</v>
      </c>
      <c r="G58" s="338">
        <f>'6.Cons Profit &amp; Loss'!F51</f>
        <v>1819594.6667904323</v>
      </c>
      <c r="H58" s="338">
        <f>'6.Cons Profit &amp; Loss'!G51</f>
        <v>2417900.1517924615</v>
      </c>
      <c r="I58" s="338">
        <f>'6.Cons Profit &amp; Loss'!H51</f>
        <v>2867108.9259416424</v>
      </c>
    </row>
    <row r="59" spans="2:10">
      <c r="B59" s="93"/>
      <c r="C59" s="338"/>
      <c r="D59" s="338"/>
      <c r="E59" s="338"/>
      <c r="F59" s="338"/>
      <c r="G59" s="338"/>
      <c r="H59" s="338"/>
      <c r="I59" s="338"/>
    </row>
    <row r="60" spans="2:10">
      <c r="B60" s="93" t="s">
        <v>42</v>
      </c>
      <c r="C60" s="338">
        <f>'6.Cons Profit &amp; Loss'!B42</f>
        <v>1157942.9093999998</v>
      </c>
      <c r="D60" s="338">
        <f>'6.Cons Profit &amp; Loss'!C42</f>
        <v>1157942.9093999998</v>
      </c>
      <c r="E60" s="338">
        <f>'6.Cons Profit &amp; Loss'!D42</f>
        <v>1157942.9093999998</v>
      </c>
      <c r="F60" s="338">
        <f>'6.Cons Profit &amp; Loss'!E42</f>
        <v>1157942.9093999998</v>
      </c>
      <c r="G60" s="338">
        <f>'6.Cons Profit &amp; Loss'!F42</f>
        <v>1157942.9093999998</v>
      </c>
      <c r="H60" s="338">
        <f>'6.Cons Profit &amp; Loss'!G42</f>
        <v>1157942.9093999998</v>
      </c>
      <c r="I60" s="338">
        <f>'6.Cons Profit &amp; Loss'!H42</f>
        <v>1157942.9093999998</v>
      </c>
    </row>
    <row r="61" spans="2:10">
      <c r="B61" s="107" t="s">
        <v>48</v>
      </c>
      <c r="C61" s="338">
        <f>'6.Cons Profit &amp; Loss'!B43</f>
        <v>192780</v>
      </c>
      <c r="D61" s="338">
        <f>'6.Cons Profit &amp; Loss'!C43</f>
        <v>192780</v>
      </c>
      <c r="E61" s="338">
        <f>'6.Cons Profit &amp; Loss'!D43</f>
        <v>192780</v>
      </c>
      <c r="F61" s="338">
        <f>'6.Cons Profit &amp; Loss'!E43</f>
        <v>192780</v>
      </c>
      <c r="G61" s="338">
        <f>'6.Cons Profit &amp; Loss'!F43</f>
        <v>192780</v>
      </c>
      <c r="H61" s="338">
        <f>'6.Cons Profit &amp; Loss'!G43</f>
        <v>0</v>
      </c>
      <c r="I61" s="338">
        <f>'6.Cons Profit &amp; Loss'!H43</f>
        <v>0</v>
      </c>
    </row>
    <row r="62" spans="2:10">
      <c r="B62" s="93"/>
      <c r="C62" s="338"/>
      <c r="D62" s="338"/>
      <c r="E62" s="338"/>
      <c r="F62" s="338"/>
      <c r="G62" s="338"/>
      <c r="H62" s="338"/>
      <c r="I62" s="338"/>
    </row>
    <row r="63" spans="2:10">
      <c r="B63" s="93" t="s">
        <v>32</v>
      </c>
      <c r="C63" s="338">
        <f>SUM(C58:C61)</f>
        <v>1143815.3841670486</v>
      </c>
      <c r="D63" s="338">
        <f t="shared" ref="D63:I63" si="7">SUM(D58:D61)</f>
        <v>1554945.9756950997</v>
      </c>
      <c r="E63" s="338">
        <f t="shared" si="7"/>
        <v>2037930.5246305617</v>
      </c>
      <c r="F63" s="338">
        <f t="shared" si="7"/>
        <v>2591458.4924274748</v>
      </c>
      <c r="G63" s="338">
        <f t="shared" si="7"/>
        <v>3170317.5761904321</v>
      </c>
      <c r="H63" s="338">
        <f t="shared" si="7"/>
        <v>3575843.0611924613</v>
      </c>
      <c r="I63" s="338">
        <f t="shared" si="7"/>
        <v>4025051.8353416421</v>
      </c>
    </row>
    <row r="64" spans="2:10">
      <c r="B64" s="93"/>
      <c r="C64" s="93"/>
      <c r="D64" s="93"/>
      <c r="E64" s="93"/>
      <c r="F64" s="93"/>
      <c r="G64" s="93"/>
      <c r="H64" s="93"/>
      <c r="I64" s="93"/>
    </row>
    <row r="65" spans="2:10" ht="16.8">
      <c r="B65" s="10" t="s">
        <v>43</v>
      </c>
      <c r="C65" s="108">
        <f>1/1.1</f>
        <v>0.90909090909090906</v>
      </c>
      <c r="D65" s="108">
        <f t="shared" ref="D65:I65" si="8">C65/1.1</f>
        <v>0.82644628099173545</v>
      </c>
      <c r="E65" s="108">
        <f t="shared" si="8"/>
        <v>0.75131480090157765</v>
      </c>
      <c r="F65" s="108">
        <f t="shared" si="8"/>
        <v>0.68301345536507052</v>
      </c>
      <c r="G65" s="108">
        <f t="shared" si="8"/>
        <v>0.62092132305915493</v>
      </c>
      <c r="H65" s="108">
        <f t="shared" si="8"/>
        <v>0.56447393005377711</v>
      </c>
      <c r="I65" s="108">
        <f t="shared" si="8"/>
        <v>0.51315811823070645</v>
      </c>
    </row>
    <row r="66" spans="2:10">
      <c r="B66" s="93"/>
      <c r="C66" s="93"/>
      <c r="D66" s="93"/>
      <c r="E66" s="93"/>
      <c r="F66" s="93"/>
      <c r="G66" s="93"/>
      <c r="H66" s="93"/>
      <c r="I66" s="93"/>
    </row>
    <row r="67" spans="2:10" ht="16.8">
      <c r="B67" s="10" t="s">
        <v>44</v>
      </c>
      <c r="C67" s="94">
        <f>C63*C65</f>
        <v>1039832.1674245896</v>
      </c>
      <c r="D67" s="94">
        <f t="shared" ref="D67:I67" si="9">D63*D65</f>
        <v>1285079.3187562807</v>
      </c>
      <c r="E67" s="94">
        <f t="shared" si="9"/>
        <v>1531127.3663640581</v>
      </c>
      <c r="F67" s="94">
        <f t="shared" si="9"/>
        <v>1770001.019348046</v>
      </c>
      <c r="G67" s="94">
        <f t="shared" si="9"/>
        <v>1968517.7839258562</v>
      </c>
      <c r="H67" s="94">
        <f t="shared" si="9"/>
        <v>2018470.1860068375</v>
      </c>
      <c r="I67" s="94">
        <f t="shared" si="9"/>
        <v>2065488.0256049684</v>
      </c>
    </row>
    <row r="68" spans="2:10">
      <c r="B68" s="92"/>
      <c r="C68" s="110"/>
      <c r="D68" s="110"/>
      <c r="E68" s="110"/>
      <c r="F68" s="110"/>
      <c r="G68" s="110"/>
      <c r="H68" s="110"/>
      <c r="I68" s="110"/>
    </row>
    <row r="69" spans="2:10" ht="16.8">
      <c r="B69" s="11" t="s">
        <v>45</v>
      </c>
      <c r="C69" s="110">
        <f>SUM(C67:I67)</f>
        <v>11678515.867430637</v>
      </c>
      <c r="D69" s="110"/>
      <c r="E69" s="110"/>
      <c r="F69" s="110"/>
      <c r="G69" s="110"/>
      <c r="H69" s="110"/>
      <c r="I69" s="110"/>
    </row>
    <row r="70" spans="2:10">
      <c r="B70" s="92"/>
      <c r="C70" s="110"/>
      <c r="D70" s="110"/>
      <c r="E70" s="110"/>
      <c r="F70" s="110"/>
      <c r="G70" s="110"/>
      <c r="H70" s="110"/>
      <c r="I70" s="110"/>
    </row>
    <row r="71" spans="2:10" ht="16.8">
      <c r="B71" s="11" t="s">
        <v>46</v>
      </c>
      <c r="C71" s="110">
        <f>-C15</f>
        <v>11220279.199999999</v>
      </c>
      <c r="D71" s="110"/>
      <c r="E71" s="110"/>
      <c r="F71" s="110"/>
      <c r="G71" s="110"/>
      <c r="H71" s="110"/>
      <c r="I71" s="110"/>
    </row>
    <row r="72" spans="2:10">
      <c r="B72" s="92"/>
      <c r="C72" s="109"/>
      <c r="D72" s="92"/>
      <c r="E72" s="92"/>
      <c r="F72" s="92"/>
      <c r="G72" s="92"/>
      <c r="H72" s="92"/>
      <c r="I72" s="92"/>
    </row>
    <row r="73" spans="2:10" ht="16.8">
      <c r="B73" s="11" t="s">
        <v>47</v>
      </c>
      <c r="C73" s="109">
        <f>C69-C71</f>
        <v>458236.6674306374</v>
      </c>
      <c r="D73" s="92"/>
      <c r="E73" s="92"/>
      <c r="F73" s="92"/>
      <c r="G73" s="92"/>
      <c r="H73" s="92"/>
      <c r="I73" s="92"/>
    </row>
    <row r="75" spans="2:10" ht="35.1" customHeight="1">
      <c r="B75" s="433" t="s">
        <v>432</v>
      </c>
      <c r="C75" s="433"/>
      <c r="D75" s="433"/>
      <c r="E75" s="433"/>
      <c r="F75" s="433"/>
      <c r="G75" s="433"/>
      <c r="H75" s="433"/>
      <c r="I75" s="433"/>
      <c r="J75" s="433"/>
    </row>
    <row r="76" spans="2:10" ht="17.399999999999999">
      <c r="B76" s="428" t="s">
        <v>572</v>
      </c>
      <c r="C76" s="428"/>
      <c r="D76" s="428"/>
      <c r="E76" s="428"/>
      <c r="F76" s="428"/>
      <c r="G76" s="428"/>
      <c r="H76" s="428"/>
      <c r="I76" s="428"/>
    </row>
    <row r="77" spans="2:10">
      <c r="B77" s="92"/>
      <c r="C77" s="92"/>
      <c r="D77" s="92"/>
      <c r="E77" s="92"/>
      <c r="F77" s="92"/>
      <c r="G77" s="92"/>
      <c r="H77" s="92"/>
      <c r="I77" s="92"/>
    </row>
    <row r="78" spans="2:10" ht="15.6">
      <c r="B78" s="70" t="s">
        <v>0</v>
      </c>
      <c r="C78" s="70" t="s">
        <v>2</v>
      </c>
      <c r="D78" s="70" t="s">
        <v>3</v>
      </c>
      <c r="E78" s="70" t="s">
        <v>4</v>
      </c>
      <c r="F78" s="70" t="s">
        <v>5</v>
      </c>
      <c r="G78" s="70" t="s">
        <v>6</v>
      </c>
      <c r="H78" s="70" t="s">
        <v>170</v>
      </c>
      <c r="I78" s="70" t="s">
        <v>169</v>
      </c>
    </row>
    <row r="79" spans="2:10" ht="15.6">
      <c r="B79" s="67"/>
      <c r="C79" s="68"/>
      <c r="D79" s="68"/>
      <c r="E79" s="68"/>
      <c r="F79" s="68"/>
      <c r="G79" s="68"/>
      <c r="H79" s="68"/>
      <c r="I79" s="68"/>
    </row>
    <row r="80" spans="2:10">
      <c r="B80" s="95" t="s">
        <v>27</v>
      </c>
      <c r="C80" s="94">
        <f>'6.Cons Profit &amp; Loss'!B51</f>
        <v>-206907.52523295116</v>
      </c>
      <c r="D80" s="94">
        <f>'6.Cons Profit &amp; Loss'!C51</f>
        <v>204223.06629509991</v>
      </c>
      <c r="E80" s="94">
        <f>'6.Cons Profit &amp; Loss'!D51</f>
        <v>687207.61523056193</v>
      </c>
      <c r="F80" s="94">
        <f>'6.Cons Profit &amp; Loss'!E51</f>
        <v>1240735.583027475</v>
      </c>
      <c r="G80" s="94">
        <f>'6.Cons Profit &amp; Loss'!F51</f>
        <v>1819594.6667904323</v>
      </c>
      <c r="H80" s="94">
        <f>'6.Cons Profit &amp; Loss'!G51</f>
        <v>2417900.1517924615</v>
      </c>
      <c r="I80" s="94">
        <f>'6.Cons Profit &amp; Loss'!H51</f>
        <v>2867108.9259416424</v>
      </c>
    </row>
    <row r="81" spans="2:10">
      <c r="B81" s="93"/>
      <c r="C81" s="93"/>
      <c r="D81" s="93"/>
      <c r="E81" s="93"/>
      <c r="F81" s="93"/>
      <c r="G81" s="93"/>
      <c r="H81" s="93"/>
      <c r="I81" s="93"/>
    </row>
    <row r="82" spans="2:10">
      <c r="B82" s="95" t="s">
        <v>124</v>
      </c>
      <c r="C82" s="470">
        <f>AVERAGE(C80:I80)</f>
        <v>1289980.3548349603</v>
      </c>
      <c r="D82" s="470"/>
      <c r="E82" s="470"/>
      <c r="F82" s="470"/>
      <c r="G82" s="470"/>
      <c r="H82" s="470"/>
      <c r="I82" s="470"/>
    </row>
    <row r="83" spans="2:10">
      <c r="B83" s="95" t="s">
        <v>719</v>
      </c>
      <c r="C83" s="470">
        <f>'1.Project Cost and MOF'!E21</f>
        <v>2434289.6947004739</v>
      </c>
      <c r="D83" s="470"/>
      <c r="E83" s="470"/>
      <c r="F83" s="470"/>
      <c r="G83" s="470"/>
      <c r="H83" s="470"/>
      <c r="I83" s="470"/>
    </row>
    <row r="84" spans="2:10">
      <c r="B84" s="93"/>
      <c r="C84" s="93"/>
      <c r="D84" s="93"/>
      <c r="E84" s="93"/>
      <c r="F84" s="93"/>
      <c r="G84" s="93"/>
      <c r="H84" s="93"/>
      <c r="I84" s="93"/>
    </row>
    <row r="85" spans="2:10">
      <c r="B85" s="268" t="s">
        <v>125</v>
      </c>
      <c r="C85" s="471">
        <f>C82/C83</f>
        <v>0.5299206407697854</v>
      </c>
      <c r="D85" s="471"/>
      <c r="E85" s="471"/>
      <c r="F85" s="471"/>
      <c r="G85" s="471"/>
      <c r="H85" s="471"/>
      <c r="I85" s="471"/>
    </row>
    <row r="88" spans="2:10">
      <c r="B88" s="469" t="s">
        <v>433</v>
      </c>
      <c r="C88" s="469"/>
      <c r="D88" s="469"/>
      <c r="E88" s="469"/>
      <c r="F88" s="469"/>
      <c r="G88" s="469"/>
      <c r="H88" s="469"/>
      <c r="I88" s="469"/>
    </row>
    <row r="90" spans="2:10" ht="17.399999999999999">
      <c r="B90" s="428" t="s">
        <v>573</v>
      </c>
      <c r="C90" s="428"/>
      <c r="D90" s="428"/>
      <c r="E90" s="428"/>
      <c r="F90" s="428"/>
      <c r="G90" s="428"/>
      <c r="H90" s="428"/>
      <c r="I90" s="428"/>
      <c r="J90" s="428"/>
    </row>
    <row r="92" spans="2:10">
      <c r="B92" s="102" t="s">
        <v>0</v>
      </c>
      <c r="C92" s="102" t="s">
        <v>339</v>
      </c>
      <c r="D92" s="102" t="s">
        <v>2</v>
      </c>
      <c r="E92" s="102" t="s">
        <v>3</v>
      </c>
      <c r="F92" s="102" t="s">
        <v>4</v>
      </c>
      <c r="G92" s="102" t="s">
        <v>5</v>
      </c>
      <c r="H92" s="102" t="s">
        <v>6</v>
      </c>
      <c r="I92" s="102" t="s">
        <v>170</v>
      </c>
      <c r="J92" s="102" t="s">
        <v>169</v>
      </c>
    </row>
    <row r="93" spans="2:10">
      <c r="B93" s="103"/>
      <c r="C93" s="103"/>
      <c r="D93" s="104"/>
      <c r="E93" s="104"/>
      <c r="F93" s="104"/>
      <c r="G93" s="104"/>
      <c r="H93" s="104"/>
      <c r="I93" s="104"/>
      <c r="J93" s="104"/>
    </row>
    <row r="94" spans="2:10">
      <c r="B94" s="23" t="s">
        <v>282</v>
      </c>
      <c r="C94" s="105">
        <f>'1.Project Cost and MOF'!D12-'1.Project Cost and MOF'!E19</f>
        <v>12252033.994700473</v>
      </c>
      <c r="D94" s="104"/>
      <c r="E94" s="104"/>
      <c r="F94" s="104"/>
      <c r="G94" s="104"/>
      <c r="H94" s="104"/>
      <c r="I94" s="104"/>
      <c r="J94" s="104"/>
    </row>
    <row r="95" spans="2:10">
      <c r="B95" s="24" t="str">
        <f>B58</f>
        <v>Profit after Tax &amp; Dividend</v>
      </c>
      <c r="C95" s="24"/>
      <c r="D95" s="25">
        <f>'6.Cons Profit &amp; Loss'!B51</f>
        <v>-206907.52523295116</v>
      </c>
      <c r="E95" s="25">
        <f>'6.Cons Profit &amp; Loss'!C51</f>
        <v>204223.06629509991</v>
      </c>
      <c r="F95" s="25">
        <f>'6.Cons Profit &amp; Loss'!D51</f>
        <v>687207.61523056193</v>
      </c>
      <c r="G95" s="25">
        <f>'6.Cons Profit &amp; Loss'!E51</f>
        <v>1240735.583027475</v>
      </c>
      <c r="H95" s="25">
        <f>'6.Cons Profit &amp; Loss'!F51</f>
        <v>1819594.6667904323</v>
      </c>
      <c r="I95" s="25">
        <f>'6.Cons Profit &amp; Loss'!G51</f>
        <v>2417900.1517924615</v>
      </c>
      <c r="J95" s="25">
        <f>'6.Cons Profit &amp; Loss'!H51</f>
        <v>2867108.9259416424</v>
      </c>
    </row>
    <row r="96" spans="2:10">
      <c r="B96" s="24" t="str">
        <f>B60</f>
        <v>Add: Deprication</v>
      </c>
      <c r="C96" s="24"/>
      <c r="D96" s="90">
        <f>'6.Cons Profit &amp; Loss'!B42</f>
        <v>1157942.9093999998</v>
      </c>
      <c r="E96" s="90">
        <f>'6.Cons Profit &amp; Loss'!C42</f>
        <v>1157942.9093999998</v>
      </c>
      <c r="F96" s="90">
        <f>'6.Cons Profit &amp; Loss'!D42</f>
        <v>1157942.9093999998</v>
      </c>
      <c r="G96" s="90">
        <f>'6.Cons Profit &amp; Loss'!E42</f>
        <v>1157942.9093999998</v>
      </c>
      <c r="H96" s="90">
        <f>'6.Cons Profit &amp; Loss'!F42</f>
        <v>1157942.9093999998</v>
      </c>
      <c r="I96" s="90">
        <f>'6.Cons Profit &amp; Loss'!G42</f>
        <v>1157942.9093999998</v>
      </c>
      <c r="J96" s="90">
        <f>'6.Cons Profit &amp; Loss'!H42</f>
        <v>1157942.9093999998</v>
      </c>
    </row>
    <row r="97" spans="2:10">
      <c r="B97" s="24" t="str">
        <f>B61</f>
        <v>Add. Preliminary exp Written off</v>
      </c>
      <c r="C97" s="24"/>
      <c r="D97" s="90">
        <f>'6.Cons Profit &amp; Loss'!B43</f>
        <v>192780</v>
      </c>
      <c r="E97" s="90">
        <f>'6.Cons Profit &amp; Loss'!C43</f>
        <v>192780</v>
      </c>
      <c r="F97" s="90">
        <f>'6.Cons Profit &amp; Loss'!D43</f>
        <v>192780</v>
      </c>
      <c r="G97" s="90">
        <f>'6.Cons Profit &amp; Loss'!E43</f>
        <v>192780</v>
      </c>
      <c r="H97" s="90">
        <f>'6.Cons Profit &amp; Loss'!F43</f>
        <v>192780</v>
      </c>
      <c r="I97" s="90">
        <f>'6.Cons Profit &amp; Loss'!G43</f>
        <v>0</v>
      </c>
      <c r="J97" s="90">
        <f>'6.Cons Profit &amp; Loss'!H43</f>
        <v>0</v>
      </c>
    </row>
    <row r="98" spans="2:10">
      <c r="B98" s="24" t="str">
        <f>B63</f>
        <v xml:space="preserve">Net Cash Accrual (A)      </v>
      </c>
      <c r="C98" s="24"/>
      <c r="D98" s="267">
        <f>SUM(D95:D97)</f>
        <v>1143815.3841670486</v>
      </c>
      <c r="E98" s="267">
        <f t="shared" ref="E98:J98" si="10">SUM(E95:E97)</f>
        <v>1554945.9756950997</v>
      </c>
      <c r="F98" s="267">
        <f t="shared" si="10"/>
        <v>2037930.5246305617</v>
      </c>
      <c r="G98" s="267">
        <f t="shared" si="10"/>
        <v>2591458.4924274748</v>
      </c>
      <c r="H98" s="267">
        <f t="shared" si="10"/>
        <v>3170317.5761904321</v>
      </c>
      <c r="I98" s="267">
        <f t="shared" si="10"/>
        <v>3575843.0611924613</v>
      </c>
      <c r="J98" s="267">
        <f t="shared" si="10"/>
        <v>4025051.8353416421</v>
      </c>
    </row>
    <row r="99" spans="2:10">
      <c r="B99" s="23" t="s">
        <v>283</v>
      </c>
      <c r="C99" s="106"/>
      <c r="D99" s="69">
        <f>D98-C94</f>
        <v>-11108218.610533424</v>
      </c>
      <c r="E99" s="69">
        <f>D99+E98</f>
        <v>-9553272.634838324</v>
      </c>
      <c r="F99" s="69">
        <f>E99+F98</f>
        <v>-7515342.1102077626</v>
      </c>
      <c r="G99" s="69">
        <f>F99+G98</f>
        <v>-4923883.6177802878</v>
      </c>
      <c r="H99" s="69">
        <f>G99+H98</f>
        <v>-1753566.0415898557</v>
      </c>
      <c r="I99" s="91"/>
      <c r="J99" s="91"/>
    </row>
    <row r="100" spans="2:10">
      <c r="B100" s="6"/>
      <c r="C100" s="6"/>
      <c r="D100" s="6"/>
      <c r="E100" s="6"/>
      <c r="F100" s="6"/>
      <c r="G100" s="6"/>
      <c r="H100" s="6"/>
      <c r="I100" s="6"/>
      <c r="J100" s="6"/>
    </row>
    <row r="101" spans="2:10">
      <c r="B101" s="26" t="s">
        <v>284</v>
      </c>
      <c r="C101" s="6"/>
      <c r="D101" s="62">
        <f>4+(-G99/H98)</f>
        <v>5.553119994905054</v>
      </c>
      <c r="E101" s="6"/>
      <c r="F101" s="6"/>
      <c r="G101" s="6"/>
      <c r="H101" s="6"/>
      <c r="I101" s="6"/>
      <c r="J101" s="6"/>
    </row>
    <row r="102" spans="2:10">
      <c r="B102" s="6"/>
      <c r="C102" s="6"/>
      <c r="D102" s="6"/>
      <c r="E102" s="6"/>
      <c r="F102" s="6"/>
      <c r="G102" s="6"/>
      <c r="H102" s="6"/>
      <c r="I102" s="6"/>
      <c r="J102" s="6"/>
    </row>
    <row r="103" spans="2:10">
      <c r="B103" s="469" t="s">
        <v>434</v>
      </c>
      <c r="C103" s="469"/>
      <c r="D103" s="469"/>
      <c r="E103" s="469"/>
      <c r="F103" s="469"/>
      <c r="G103" s="469"/>
      <c r="H103" s="469"/>
      <c r="I103" s="469"/>
      <c r="J103" s="469"/>
    </row>
    <row r="105" spans="2:10" ht="17.399999999999999">
      <c r="B105" s="428" t="s">
        <v>574</v>
      </c>
      <c r="C105" s="428"/>
      <c r="D105" s="428"/>
      <c r="E105" s="428"/>
      <c r="F105" s="428"/>
      <c r="G105" s="428"/>
      <c r="H105" s="428"/>
      <c r="I105" s="428"/>
    </row>
    <row r="107" spans="2:10" ht="15.6">
      <c r="B107" s="70" t="s">
        <v>0</v>
      </c>
      <c r="C107" s="70" t="s">
        <v>2</v>
      </c>
      <c r="D107" s="70" t="s">
        <v>3</v>
      </c>
      <c r="E107" s="70" t="s">
        <v>4</v>
      </c>
      <c r="F107" s="70" t="s">
        <v>5</v>
      </c>
      <c r="G107" s="70" t="s">
        <v>6</v>
      </c>
      <c r="H107" s="70" t="s">
        <v>170</v>
      </c>
      <c r="I107" s="70" t="s">
        <v>169</v>
      </c>
    </row>
    <row r="108" spans="2:10" ht="15.6">
      <c r="B108" s="67"/>
      <c r="C108" s="68"/>
      <c r="D108" s="68"/>
      <c r="E108" s="68"/>
      <c r="F108" s="68"/>
      <c r="G108" s="68"/>
      <c r="H108" s="68"/>
      <c r="I108" s="68"/>
    </row>
    <row r="109" spans="2:10">
      <c r="B109" s="93" t="s">
        <v>342</v>
      </c>
      <c r="C109" s="94">
        <f>'6.Cons Profit &amp; Loss'!B40</f>
        <v>2693376.4262592196</v>
      </c>
      <c r="D109" s="94">
        <f>'6.Cons Profit &amp; Loss'!C40</f>
        <v>3304245.5993816555</v>
      </c>
      <c r="E109" s="94">
        <f>'6.Cons Profit &amp; Loss'!D40</f>
        <v>3845878.9447211623</v>
      </c>
      <c r="F109" s="94">
        <f>'6.Cons Profit &amp; Loss'!E40</f>
        <v>4463625.7502636015</v>
      </c>
      <c r="G109" s="94">
        <f>'6.Cons Profit &amp; Loss'!F40</f>
        <v>5099815.2199726701</v>
      </c>
      <c r="H109" s="94">
        <f>'6.Cons Profit &amp; Loss'!G40</f>
        <v>5658856.8009103835</v>
      </c>
      <c r="I109" s="94">
        <f>'6.Cons Profit &amp; Loss'!H40</f>
        <v>6223458.6061375141</v>
      </c>
    </row>
    <row r="110" spans="2:10" hidden="1">
      <c r="B110" s="93" t="s">
        <v>352</v>
      </c>
      <c r="C110" s="94"/>
      <c r="D110" s="94"/>
      <c r="E110" s="94"/>
      <c r="F110" s="94"/>
      <c r="G110" s="94"/>
      <c r="H110" s="94"/>
      <c r="I110" s="94"/>
    </row>
    <row r="111" spans="2:10">
      <c r="B111" s="95" t="s">
        <v>1</v>
      </c>
      <c r="C111" s="96">
        <f t="shared" ref="C111:I111" si="11">SUM(C109:C110)</f>
        <v>2693376.4262592196</v>
      </c>
      <c r="D111" s="96">
        <f t="shared" si="11"/>
        <v>3304245.5993816555</v>
      </c>
      <c r="E111" s="96">
        <f t="shared" si="11"/>
        <v>3845878.9447211623</v>
      </c>
      <c r="F111" s="96">
        <f t="shared" si="11"/>
        <v>4463625.7502636015</v>
      </c>
      <c r="G111" s="96">
        <f t="shared" si="11"/>
        <v>5099815.2199726701</v>
      </c>
      <c r="H111" s="96">
        <f t="shared" si="11"/>
        <v>5658856.8009103835</v>
      </c>
      <c r="I111" s="96">
        <f t="shared" si="11"/>
        <v>6223458.6061375141</v>
      </c>
    </row>
    <row r="112" spans="2:10">
      <c r="B112" s="93"/>
      <c r="C112" s="93"/>
      <c r="D112" s="93"/>
      <c r="E112" s="93"/>
      <c r="F112" s="93"/>
      <c r="G112" s="93"/>
      <c r="H112" s="93"/>
      <c r="I112" s="93"/>
    </row>
    <row r="113" spans="2:18">
      <c r="B113" s="97" t="s">
        <v>285</v>
      </c>
      <c r="C113" s="98">
        <f>'8.Cash Flow '!C25+'8.Cash Flow '!C26</f>
        <v>1178129.3159999999</v>
      </c>
      <c r="D113" s="98">
        <f>'8.Cash Flow '!D25+'8.Cash Flow '!D26</f>
        <v>2303265.4920873148</v>
      </c>
      <c r="E113" s="98">
        <f>'8.Cash Flow '!E25+'8.Cash Flow '!E26</f>
        <v>2303265.4920873148</v>
      </c>
      <c r="F113" s="98">
        <f>'8.Cash Flow '!F25+'8.Cash Flow '!F26</f>
        <v>2303265.4920873148</v>
      </c>
      <c r="G113" s="98">
        <f>'8.Cash Flow '!G25+'8.Cash Flow '!G26</f>
        <v>2303265.4920873148</v>
      </c>
      <c r="H113" s="98">
        <f>'8.Cash Flow '!H25+'8.Cash Flow '!H26</f>
        <v>2303265.4920873148</v>
      </c>
      <c r="I113" s="98">
        <f>'8.Cash Flow '!I25+'8.Cash Flow '!I26</f>
        <v>2303265.4920873148</v>
      </c>
    </row>
    <row r="114" spans="2:18">
      <c r="B114" s="93"/>
      <c r="C114" s="93"/>
      <c r="D114" s="93"/>
      <c r="E114" s="93"/>
      <c r="F114" s="93"/>
      <c r="G114" s="93"/>
      <c r="H114" s="93"/>
      <c r="I114" s="93"/>
    </row>
    <row r="115" spans="2:18">
      <c r="B115" s="99" t="s">
        <v>340</v>
      </c>
      <c r="C115" s="100">
        <f t="shared" ref="C115:I115" si="12">C111/C113</f>
        <v>2.2861466815916325</v>
      </c>
      <c r="D115" s="100">
        <f t="shared" si="12"/>
        <v>1.4345917180338645</v>
      </c>
      <c r="E115" s="100">
        <f t="shared" si="12"/>
        <v>1.669750603190719</v>
      </c>
      <c r="F115" s="100">
        <f t="shared" si="12"/>
        <v>1.937955379263933</v>
      </c>
      <c r="G115" s="100">
        <f t="shared" si="12"/>
        <v>2.2141673365457342</v>
      </c>
      <c r="H115" s="100">
        <f t="shared" si="12"/>
        <v>2.4568842890022604</v>
      </c>
      <c r="I115" s="100">
        <f t="shared" si="12"/>
        <v>2.7020153028462026</v>
      </c>
    </row>
    <row r="116" spans="2:18">
      <c r="B116" s="92"/>
      <c r="C116" s="92"/>
      <c r="D116" s="92"/>
      <c r="E116" s="92"/>
      <c r="F116" s="92"/>
      <c r="G116" s="92"/>
      <c r="H116" s="92"/>
      <c r="I116" s="92"/>
    </row>
    <row r="117" spans="2:18">
      <c r="B117" s="92" t="s">
        <v>341</v>
      </c>
      <c r="C117" s="101">
        <f>AVERAGE(C115:I115)</f>
        <v>2.1002159014963353</v>
      </c>
      <c r="D117" s="92"/>
      <c r="E117" s="92"/>
      <c r="F117" s="92"/>
      <c r="G117" s="92"/>
      <c r="H117" s="92"/>
      <c r="I117" s="92"/>
    </row>
    <row r="119" spans="2:18" ht="29.4" customHeight="1">
      <c r="B119" s="433" t="s">
        <v>435</v>
      </c>
      <c r="C119" s="433"/>
      <c r="D119" s="433"/>
      <c r="E119" s="433"/>
      <c r="F119" s="433"/>
      <c r="G119" s="433"/>
      <c r="H119" s="433"/>
      <c r="I119" s="433"/>
      <c r="J119" s="433"/>
    </row>
    <row r="121" spans="2:18" ht="21">
      <c r="B121" s="464" t="s">
        <v>575</v>
      </c>
      <c r="C121" s="465"/>
      <c r="D121" s="465"/>
      <c r="E121" s="465"/>
      <c r="F121" s="465"/>
      <c r="G121" s="465"/>
      <c r="H121" s="465"/>
      <c r="I121" s="465"/>
      <c r="K121" s="466"/>
      <c r="L121" s="466"/>
      <c r="M121" s="466"/>
      <c r="N121" s="466"/>
      <c r="O121" s="466"/>
      <c r="P121" s="466"/>
      <c r="Q121" s="466"/>
      <c r="R121" s="466"/>
    </row>
    <row r="122" spans="2:18">
      <c r="B122" s="80" t="s">
        <v>353</v>
      </c>
      <c r="C122" s="81" t="s">
        <v>2</v>
      </c>
      <c r="D122" s="81" t="s">
        <v>3</v>
      </c>
      <c r="E122" s="81" t="s">
        <v>4</v>
      </c>
      <c r="F122" s="81" t="s">
        <v>5</v>
      </c>
      <c r="G122" s="81" t="s">
        <v>6</v>
      </c>
      <c r="H122" s="81" t="s">
        <v>170</v>
      </c>
      <c r="I122" s="81" t="s">
        <v>169</v>
      </c>
    </row>
    <row r="123" spans="2:18">
      <c r="B123" s="72" t="str">
        <f>'6.Cons Profit &amp; Loss'!A8</f>
        <v>Faclitiy 1 - Cleaning &amp; Grading</v>
      </c>
      <c r="C123" s="335">
        <f>'6.Cons Profit &amp; Loss'!B8*(1+$M$124)</f>
        <v>31908236.949388802</v>
      </c>
      <c r="D123" s="335">
        <f>'6.Cons Profit &amp; Loss'!C8*(1+$M$124)</f>
        <v>38369194.001495279</v>
      </c>
      <c r="E123" s="335">
        <f>'6.Cons Profit &amp; Loss'!D8*(1+$M$124)</f>
        <v>44773941.17619285</v>
      </c>
      <c r="F123" s="335">
        <f>'6.Cons Profit &amp; Loss'!E8*(1+$M$124)</f>
        <v>51723240.083356418</v>
      </c>
      <c r="G123" s="335">
        <f>'6.Cons Profit &amp; Loss'!F8*(1+$M$124)</f>
        <v>59255534.028295904</v>
      </c>
      <c r="H123" s="335">
        <f>'6.Cons Profit &amp; Loss'!G8*(1+$M$124)</f>
        <v>67411749.267520934</v>
      </c>
      <c r="I123" s="335">
        <f>'6.Cons Profit &amp; Loss'!H8*(1+$M$124)</f>
        <v>76235447.195597723</v>
      </c>
    </row>
    <row r="124" spans="2:18">
      <c r="B124" s="72" t="str">
        <f>'6.Cons Profit &amp; Loss'!A9</f>
        <v>Faclitiy 2 - Processing Unit- Dal Mill</v>
      </c>
      <c r="C124" s="335">
        <f>'6.Cons Profit &amp; Loss'!B9*(1+$M$124)</f>
        <v>0</v>
      </c>
      <c r="D124" s="335">
        <f>'6.Cons Profit &amp; Loss'!C9*(1+$M$124)</f>
        <v>0</v>
      </c>
      <c r="E124" s="335">
        <f>'6.Cons Profit &amp; Loss'!D9*(1+$M$124)</f>
        <v>0</v>
      </c>
      <c r="F124" s="335">
        <f>'6.Cons Profit &amp; Loss'!E9*(1+$M$124)</f>
        <v>0</v>
      </c>
      <c r="G124" s="335">
        <f>'6.Cons Profit &amp; Loss'!F9*(1+$M$124)</f>
        <v>0</v>
      </c>
      <c r="H124" s="335">
        <f>'6.Cons Profit &amp; Loss'!G9*(1+$M$124)</f>
        <v>0</v>
      </c>
      <c r="I124" s="335">
        <f>'6.Cons Profit &amp; Loss'!H9*(1+$M$124)</f>
        <v>0</v>
      </c>
      <c r="L124" s="4" t="s">
        <v>374</v>
      </c>
      <c r="M124" s="275">
        <v>0.05</v>
      </c>
    </row>
    <row r="125" spans="2:18">
      <c r="B125" s="72" t="str">
        <f>'6.Cons Profit &amp; Loss'!A10</f>
        <v>Faclitiy 3 - Warehouse</v>
      </c>
      <c r="C125" s="335">
        <f>'6.Cons Profit &amp; Loss'!B10*(1+$M$124)</f>
        <v>1984500</v>
      </c>
      <c r="D125" s="335">
        <f>'6.Cons Profit &amp; Loss'!C10*(1+$M$124)</f>
        <v>2232562.5</v>
      </c>
      <c r="E125" s="335">
        <f>'6.Cons Profit &amp; Loss'!D10*(1+$M$124)</f>
        <v>2500470</v>
      </c>
      <c r="F125" s="335">
        <f>'6.Cons Profit &amp; Loss'!E10*(1+$M$124)</f>
        <v>2789586.8437500009</v>
      </c>
      <c r="G125" s="335">
        <f>'6.Cons Profit &amp; Loss'!F10*(1+$M$124)</f>
        <v>3101364.1968750013</v>
      </c>
      <c r="H125" s="335">
        <f>'6.Cons Profit &amp; Loss'!G10*(1+$M$124)</f>
        <v>3256432.4067187514</v>
      </c>
      <c r="I125" s="335">
        <f>'6.Cons Profit &amp; Loss'!H10*(1+$M$124)</f>
        <v>3419254.0270546894</v>
      </c>
      <c r="L125" s="4" t="s">
        <v>375</v>
      </c>
      <c r="M125" s="275">
        <v>0.05</v>
      </c>
    </row>
    <row r="126" spans="2:18">
      <c r="B126" s="72" t="str">
        <f>'6.Cons Profit &amp; Loss'!A11</f>
        <v xml:space="preserve">Faclitiy 4 - Custom Hiring </v>
      </c>
      <c r="C126" s="335">
        <f>'6.Cons Profit &amp; Loss'!B11*(1+$M$124)</f>
        <v>3242400</v>
      </c>
      <c r="D126" s="335">
        <f>'6.Cons Profit &amp; Loss'!C11*(1+$M$124)</f>
        <v>3404520</v>
      </c>
      <c r="E126" s="335">
        <f>'6.Cons Profit &amp; Loss'!D11*(1+$M$124)</f>
        <v>3574746</v>
      </c>
      <c r="F126" s="335">
        <f>'6.Cons Profit &amp; Loss'!E11*(1+$M$124)</f>
        <v>3753483.3000000007</v>
      </c>
      <c r="G126" s="335">
        <f>'6.Cons Profit &amp; Loss'!F11*(1+$M$124)</f>
        <v>3941157.4650000003</v>
      </c>
      <c r="H126" s="335">
        <f>'6.Cons Profit &amp; Loss'!G11*(1+$M$124)</f>
        <v>4138215.338250001</v>
      </c>
      <c r="I126" s="335">
        <f>'6.Cons Profit &amp; Loss'!H11*(1+$M$124)</f>
        <v>4345126.1051625013</v>
      </c>
    </row>
    <row r="127" spans="2:18">
      <c r="B127" s="72" t="str">
        <f>'6.Cons Profit &amp; Loss'!A12</f>
        <v>Faclitiy 5 - Agri Input Centre</v>
      </c>
      <c r="C127" s="335">
        <f>'6.Cons Profit &amp; Loss'!B12*(1+$M$124)</f>
        <v>84107330.112959996</v>
      </c>
      <c r="D127" s="335">
        <f>'6.Cons Profit &amp; Loss'!C12*(1+$M$124)</f>
        <v>100228463.16852599</v>
      </c>
      <c r="E127" s="335">
        <f>'6.Cons Profit &amp; Loss'!D12*(1+$M$124)</f>
        <v>116945991.93892235</v>
      </c>
      <c r="F127" s="335">
        <f>'6.Cons Profit &amp; Loss'!E12*(1+$M$124)</f>
        <v>135084702.42843696</v>
      </c>
      <c r="G127" s="335">
        <f>'6.Cons Profit &amp; Loss'!F12*(1+$M$124)</f>
        <v>154744918.98705578</v>
      </c>
      <c r="H127" s="335">
        <f>'6.Cons Profit &amp; Loss'!G12*(1+$M$124)</f>
        <v>176033445.44546533</v>
      </c>
      <c r="I127" s="335">
        <f>'6.Cons Profit &amp; Loss'!H12*(1+$M$124)</f>
        <v>199063962.25224826</v>
      </c>
    </row>
    <row r="128" spans="2:18">
      <c r="B128" s="72" t="str">
        <f>'6.Cons Profit &amp; Loss'!A13</f>
        <v>Facility 6 - Processing Unit - Horti Commodity</v>
      </c>
      <c r="C128" s="335">
        <f>'6.Cons Profit &amp; Loss'!B13*(1+$M$124)</f>
        <v>0</v>
      </c>
      <c r="D128" s="335">
        <f>'6.Cons Profit &amp; Loss'!C13*(1+$M$124)</f>
        <v>0</v>
      </c>
      <c r="E128" s="335">
        <f>'6.Cons Profit &amp; Loss'!D13*(1+$M$124)</f>
        <v>0</v>
      </c>
      <c r="F128" s="335">
        <f>'6.Cons Profit &amp; Loss'!E13*(1+$M$124)</f>
        <v>0</v>
      </c>
      <c r="G128" s="335">
        <f>'6.Cons Profit &amp; Loss'!F13*(1+$M$124)</f>
        <v>0</v>
      </c>
      <c r="H128" s="335">
        <f>'6.Cons Profit &amp; Loss'!G13*(1+$M$124)</f>
        <v>0</v>
      </c>
      <c r="I128" s="335">
        <f>'6.Cons Profit &amp; Loss'!H13*(1+$M$124)</f>
        <v>0</v>
      </c>
    </row>
    <row r="129" spans="2:9">
      <c r="B129" s="72">
        <f>'6.Cons Profit &amp; Loss'!A14</f>
        <v>0</v>
      </c>
      <c r="C129" s="335">
        <f>'6.Cons Profit &amp; Loss'!B14*(1+$M$124)</f>
        <v>0</v>
      </c>
      <c r="D129" s="335">
        <f>'6.Cons Profit &amp; Loss'!C14*(1+$M$124)</f>
        <v>0</v>
      </c>
      <c r="E129" s="335">
        <f>'6.Cons Profit &amp; Loss'!D14*(1+$M$124)</f>
        <v>0</v>
      </c>
      <c r="F129" s="335">
        <f>'6.Cons Profit &amp; Loss'!E14*(1+$M$124)</f>
        <v>0</v>
      </c>
      <c r="G129" s="335">
        <f>'6.Cons Profit &amp; Loss'!F14*(1+$M$124)</f>
        <v>0</v>
      </c>
      <c r="H129" s="335">
        <f>'6.Cons Profit &amp; Loss'!G14*(1+$M$124)</f>
        <v>0</v>
      </c>
      <c r="I129" s="335">
        <f>'6.Cons Profit &amp; Loss'!H14*(1+$M$124)</f>
        <v>0</v>
      </c>
    </row>
    <row r="130" spans="2:9">
      <c r="B130" s="72" t="s">
        <v>354</v>
      </c>
      <c r="C130" s="335">
        <f>SUM(C123:C129)</f>
        <v>121242467.0623488</v>
      </c>
      <c r="D130" s="335">
        <f t="shared" ref="D130:I130" si="13">SUM(D123:D129)</f>
        <v>144234739.67002127</v>
      </c>
      <c r="E130" s="335">
        <f t="shared" si="13"/>
        <v>167795149.1151152</v>
      </c>
      <c r="F130" s="335">
        <f t="shared" si="13"/>
        <v>193351012.65554339</v>
      </c>
      <c r="G130" s="335">
        <f t="shared" si="13"/>
        <v>221042974.67722669</v>
      </c>
      <c r="H130" s="335">
        <f t="shared" si="13"/>
        <v>250839842.457955</v>
      </c>
      <c r="I130" s="335">
        <f t="shared" si="13"/>
        <v>283063789.58006316</v>
      </c>
    </row>
    <row r="131" spans="2:9">
      <c r="B131" s="72" t="s">
        <v>355</v>
      </c>
      <c r="C131" s="335"/>
      <c r="D131" s="335"/>
      <c r="E131" s="335"/>
      <c r="F131" s="335"/>
      <c r="G131" s="335"/>
      <c r="H131" s="335"/>
      <c r="I131" s="335"/>
    </row>
    <row r="132" spans="2:9">
      <c r="B132" s="72" t="s">
        <v>356</v>
      </c>
      <c r="C132" s="335">
        <f>'6.Cons Profit &amp; Loss'!B36</f>
        <v>2145880</v>
      </c>
      <c r="D132" s="335">
        <f>'6.Cons Profit &amp; Loss'!C36</f>
        <v>2193974</v>
      </c>
      <c r="E132" s="335">
        <f>'6.Cons Profit &amp; Loss'!D36</f>
        <v>2281208.7999999998</v>
      </c>
      <c r="F132" s="335">
        <f>'6.Cons Profit &amp; Loss'!E36</f>
        <v>2335734.6425000001</v>
      </c>
      <c r="G132" s="335">
        <f>'6.Cons Profit &amp; Loss'!F36</f>
        <v>2429750.9672500002</v>
      </c>
      <c r="H132" s="335">
        <f>'6.Cons Profit &amp; Loss'!G36</f>
        <v>2484764.7156125</v>
      </c>
      <c r="I132" s="335">
        <f>'6.Cons Profit &amp; Loss'!H36</f>
        <v>2570027.2013931256</v>
      </c>
    </row>
    <row r="133" spans="2:9">
      <c r="B133" s="72" t="s">
        <v>313</v>
      </c>
      <c r="C133" s="335">
        <f>'6.Cons Profit &amp; Loss'!B25*(1+M124)</f>
        <v>116161247.81477661</v>
      </c>
      <c r="D133" s="335">
        <f>'6.Cons Profit &amp; Loss'!C25*(1+N124)</f>
        <v>131868199.13397193</v>
      </c>
      <c r="E133" s="335">
        <f>'6.Cons Profit &amp; Loss'!D25*(1+O124)</f>
        <v>153677816.17443615</v>
      </c>
      <c r="F133" s="335">
        <f>'6.Cons Profit &amp; Loss'!E25*(1+P124)</f>
        <v>177344461.18394434</v>
      </c>
      <c r="G133" s="335">
        <f>'6.Cons Profit &amp; Loss'!F25*(1+Q124)</f>
        <v>202987552.55299321</v>
      </c>
      <c r="H133" s="335">
        <f>'6.Cons Profit &amp; Loss'!G25*(1+R124)</f>
        <v>230751466.53867239</v>
      </c>
      <c r="I133" s="335">
        <f>'6.Cons Profit &amp; Loss'!H25*(1+S124)</f>
        <v>260791075.69729137</v>
      </c>
    </row>
    <row r="134" spans="2:9">
      <c r="B134" s="72" t="s">
        <v>357</v>
      </c>
      <c r="C134" s="335">
        <f t="shared" ref="C134:I134" si="14">SUM(C132:C133)</f>
        <v>118307127.81477661</v>
      </c>
      <c r="D134" s="335">
        <f t="shared" si="14"/>
        <v>134062173.13397193</v>
      </c>
      <c r="E134" s="335">
        <f t="shared" si="14"/>
        <v>155959024.97443616</v>
      </c>
      <c r="F134" s="335">
        <f t="shared" si="14"/>
        <v>179680195.82644436</v>
      </c>
      <c r="G134" s="335">
        <f t="shared" si="14"/>
        <v>205417303.5202432</v>
      </c>
      <c r="H134" s="335">
        <f t="shared" si="14"/>
        <v>233236231.25428489</v>
      </c>
      <c r="I134" s="335">
        <f t="shared" si="14"/>
        <v>263361102.8986845</v>
      </c>
    </row>
    <row r="135" spans="2:9">
      <c r="B135" s="75" t="s">
        <v>358</v>
      </c>
      <c r="C135" s="337">
        <f t="shared" ref="C135:I135" si="15">+C130-C134</f>
        <v>2935339.2475721836</v>
      </c>
      <c r="D135" s="337">
        <f t="shared" si="15"/>
        <v>10172566.536049336</v>
      </c>
      <c r="E135" s="337">
        <f t="shared" si="15"/>
        <v>11836124.140679032</v>
      </c>
      <c r="F135" s="337">
        <f t="shared" si="15"/>
        <v>13670816.829099029</v>
      </c>
      <c r="G135" s="337">
        <f t="shared" si="15"/>
        <v>15625671.156983495</v>
      </c>
      <c r="H135" s="337">
        <f t="shared" si="15"/>
        <v>17603611.203670114</v>
      </c>
      <c r="I135" s="337">
        <f t="shared" si="15"/>
        <v>19702686.681378663</v>
      </c>
    </row>
    <row r="136" spans="2:9">
      <c r="B136" s="77"/>
      <c r="C136" s="78"/>
      <c r="D136" s="78"/>
      <c r="E136" s="78"/>
      <c r="F136" s="78"/>
      <c r="G136" s="78"/>
      <c r="H136" s="78"/>
      <c r="I136" s="78"/>
    </row>
    <row r="137" spans="2:9">
      <c r="B137" s="80" t="s">
        <v>359</v>
      </c>
      <c r="C137" s="81" t="s">
        <v>2</v>
      </c>
      <c r="D137" s="81" t="s">
        <v>3</v>
      </c>
      <c r="E137" s="81" t="s">
        <v>4</v>
      </c>
      <c r="F137" s="81" t="s">
        <v>5</v>
      </c>
      <c r="G137" s="81" t="s">
        <v>6</v>
      </c>
      <c r="H137" s="81" t="s">
        <v>170</v>
      </c>
      <c r="I137" s="81" t="s">
        <v>169</v>
      </c>
    </row>
    <row r="138" spans="2:9">
      <c r="B138" s="72" t="str">
        <f t="shared" ref="B138:B144" si="16">B123</f>
        <v>Faclitiy 1 - Cleaning &amp; Grading</v>
      </c>
      <c r="C138" s="74">
        <f>'6.Cons Profit &amp; Loss'!B8</f>
        <v>30388797.094656002</v>
      </c>
      <c r="D138" s="74">
        <f>'6.Cons Profit &amp; Loss'!C8</f>
        <v>36542089.525233597</v>
      </c>
      <c r="E138" s="74">
        <f>'6.Cons Profit &amp; Loss'!D8</f>
        <v>42641848.739231281</v>
      </c>
      <c r="F138" s="74">
        <f>'6.Cons Profit &amp; Loss'!E8</f>
        <v>49260228.650815636</v>
      </c>
      <c r="G138" s="74">
        <f>'6.Cons Profit &amp; Loss'!F8</f>
        <v>56433841.931710385</v>
      </c>
      <c r="H138" s="74">
        <f>'6.Cons Profit &amp; Loss'!G8</f>
        <v>64201665.969067559</v>
      </c>
      <c r="I138" s="74">
        <f>'6.Cons Profit &amp; Loss'!H8</f>
        <v>72605187.805331156</v>
      </c>
    </row>
    <row r="139" spans="2:9">
      <c r="B139" s="72" t="str">
        <f t="shared" si="16"/>
        <v>Faclitiy 2 - Processing Unit- Dal Mill</v>
      </c>
      <c r="C139" s="74">
        <f>'6.Cons Profit &amp; Loss'!B9</f>
        <v>0</v>
      </c>
      <c r="D139" s="74">
        <f>'6.Cons Profit &amp; Loss'!C9</f>
        <v>0</v>
      </c>
      <c r="E139" s="74">
        <f>'6.Cons Profit &amp; Loss'!D9</f>
        <v>0</v>
      </c>
      <c r="F139" s="74">
        <f>'6.Cons Profit &amp; Loss'!E9</f>
        <v>0</v>
      </c>
      <c r="G139" s="74">
        <f>'6.Cons Profit &amp; Loss'!F9</f>
        <v>0</v>
      </c>
      <c r="H139" s="74">
        <f>'6.Cons Profit &amp; Loss'!G9</f>
        <v>0</v>
      </c>
      <c r="I139" s="74">
        <f>'6.Cons Profit &amp; Loss'!H9</f>
        <v>0</v>
      </c>
    </row>
    <row r="140" spans="2:9">
      <c r="B140" s="72" t="str">
        <f t="shared" si="16"/>
        <v>Faclitiy 3 - Warehouse</v>
      </c>
      <c r="C140" s="74">
        <f>'6.Cons Profit &amp; Loss'!B10</f>
        <v>1890000</v>
      </c>
      <c r="D140" s="74">
        <f>'6.Cons Profit &amp; Loss'!C10</f>
        <v>2126250</v>
      </c>
      <c r="E140" s="74">
        <f>'6.Cons Profit &amp; Loss'!D10</f>
        <v>2381400</v>
      </c>
      <c r="F140" s="74">
        <f>'6.Cons Profit &amp; Loss'!E10</f>
        <v>2656749.3750000009</v>
      </c>
      <c r="G140" s="74">
        <f>'6.Cons Profit &amp; Loss'!F10</f>
        <v>2953680.1875000009</v>
      </c>
      <c r="H140" s="74">
        <f>'6.Cons Profit &amp; Loss'!G10</f>
        <v>3101364.1968750013</v>
      </c>
      <c r="I140" s="74">
        <f>'6.Cons Profit &amp; Loss'!H10</f>
        <v>3256432.4067187514</v>
      </c>
    </row>
    <row r="141" spans="2:9">
      <c r="B141" s="72" t="str">
        <f t="shared" si="16"/>
        <v xml:space="preserve">Faclitiy 4 - Custom Hiring </v>
      </c>
      <c r="C141" s="74">
        <f>'6.Cons Profit &amp; Loss'!B11</f>
        <v>3088000</v>
      </c>
      <c r="D141" s="74">
        <f>'6.Cons Profit &amp; Loss'!C11</f>
        <v>3242400</v>
      </c>
      <c r="E141" s="74">
        <f>'6.Cons Profit &amp; Loss'!D11</f>
        <v>3404520</v>
      </c>
      <c r="F141" s="74">
        <f>'6.Cons Profit &amp; Loss'!E11</f>
        <v>3574746.0000000005</v>
      </c>
      <c r="G141" s="74">
        <f>'6.Cons Profit &amp; Loss'!F11</f>
        <v>3753483.3000000003</v>
      </c>
      <c r="H141" s="74">
        <f>'6.Cons Profit &amp; Loss'!G11</f>
        <v>3941157.4650000008</v>
      </c>
      <c r="I141" s="74">
        <f>'6.Cons Profit &amp; Loss'!H11</f>
        <v>4138215.338250001</v>
      </c>
    </row>
    <row r="142" spans="2:9">
      <c r="B142" s="72" t="str">
        <f t="shared" si="16"/>
        <v>Faclitiy 5 - Agri Input Centre</v>
      </c>
      <c r="C142" s="74">
        <f>'6.Cons Profit &amp; Loss'!B12</f>
        <v>80102219.15519999</v>
      </c>
      <c r="D142" s="74">
        <f>'6.Cons Profit &amp; Loss'!C12</f>
        <v>95455679.208119988</v>
      </c>
      <c r="E142" s="74">
        <f>'6.Cons Profit &amp; Loss'!D12</f>
        <v>111377135.17992604</v>
      </c>
      <c r="F142" s="74">
        <f>'6.Cons Profit &amp; Loss'!E12</f>
        <v>128652097.55089234</v>
      </c>
      <c r="G142" s="74">
        <f>'6.Cons Profit &amp; Loss'!F12</f>
        <v>147376113.32100549</v>
      </c>
      <c r="H142" s="74">
        <f>'6.Cons Profit &amp; Loss'!G12</f>
        <v>167650900.42425269</v>
      </c>
      <c r="I142" s="74">
        <f>'6.Cons Profit &amp; Loss'!H12</f>
        <v>189584725.95452213</v>
      </c>
    </row>
    <row r="143" spans="2:9">
      <c r="B143" s="72" t="str">
        <f t="shared" si="16"/>
        <v>Facility 6 - Processing Unit - Horti Commodity</v>
      </c>
      <c r="C143" s="74">
        <f>'6.Cons Profit &amp; Loss'!B13</f>
        <v>0</v>
      </c>
      <c r="D143" s="74">
        <f>'6.Cons Profit &amp; Loss'!C13</f>
        <v>0</v>
      </c>
      <c r="E143" s="74">
        <f>'6.Cons Profit &amp; Loss'!D13</f>
        <v>0</v>
      </c>
      <c r="F143" s="74">
        <f>'6.Cons Profit &amp; Loss'!E13</f>
        <v>0</v>
      </c>
      <c r="G143" s="74">
        <f>'6.Cons Profit &amp; Loss'!F13</f>
        <v>0</v>
      </c>
      <c r="H143" s="74">
        <f>'6.Cons Profit &amp; Loss'!G13</f>
        <v>0</v>
      </c>
      <c r="I143" s="74">
        <f>'6.Cons Profit &amp; Loss'!H13</f>
        <v>0</v>
      </c>
    </row>
    <row r="144" spans="2:9">
      <c r="B144" s="72">
        <f t="shared" si="16"/>
        <v>0</v>
      </c>
      <c r="C144" s="74">
        <f>'6.Cons Profit &amp; Loss'!B14</f>
        <v>0</v>
      </c>
      <c r="D144" s="74">
        <f>'6.Cons Profit &amp; Loss'!C14</f>
        <v>0</v>
      </c>
      <c r="E144" s="74">
        <f>'6.Cons Profit &amp; Loss'!D14</f>
        <v>0</v>
      </c>
      <c r="F144" s="74">
        <f>'6.Cons Profit &amp; Loss'!E14</f>
        <v>0</v>
      </c>
      <c r="G144" s="74">
        <f>'6.Cons Profit &amp; Loss'!F14</f>
        <v>0</v>
      </c>
      <c r="H144" s="74">
        <f>'6.Cons Profit &amp; Loss'!G14</f>
        <v>0</v>
      </c>
      <c r="I144" s="74">
        <f>'6.Cons Profit &amp; Loss'!H14</f>
        <v>0</v>
      </c>
    </row>
    <row r="145" spans="2:15">
      <c r="B145" s="72" t="s">
        <v>354</v>
      </c>
      <c r="C145" s="74">
        <f>SUM(C138:C144)</f>
        <v>115469016.249856</v>
      </c>
      <c r="D145" s="74">
        <f t="shared" ref="D145:I145" si="17">SUM(D138:D144)</f>
        <v>137366418.73335359</v>
      </c>
      <c r="E145" s="74">
        <f t="shared" si="17"/>
        <v>159804903.91915733</v>
      </c>
      <c r="F145" s="74">
        <f t="shared" si="17"/>
        <v>184143821.57670796</v>
      </c>
      <c r="G145" s="74">
        <f t="shared" si="17"/>
        <v>210517118.74021587</v>
      </c>
      <c r="H145" s="74">
        <f t="shared" si="17"/>
        <v>238895088.05519527</v>
      </c>
      <c r="I145" s="74">
        <f t="shared" si="17"/>
        <v>269584561.50482202</v>
      </c>
    </row>
    <row r="146" spans="2:15">
      <c r="B146" s="72" t="s">
        <v>355</v>
      </c>
      <c r="C146" s="79"/>
      <c r="D146" s="74"/>
      <c r="E146" s="74"/>
      <c r="F146" s="74"/>
      <c r="G146" s="74"/>
      <c r="H146" s="74"/>
      <c r="I146" s="74"/>
    </row>
    <row r="147" spans="2:15">
      <c r="B147" s="72" t="s">
        <v>356</v>
      </c>
      <c r="C147" s="73">
        <f>'6.Cons Profit &amp; Loss'!B36</f>
        <v>2145880</v>
      </c>
      <c r="D147" s="73">
        <f>'6.Cons Profit &amp; Loss'!C36</f>
        <v>2193974</v>
      </c>
      <c r="E147" s="73">
        <f>'6.Cons Profit &amp; Loss'!D36</f>
        <v>2281208.7999999998</v>
      </c>
      <c r="F147" s="73">
        <f>'6.Cons Profit &amp; Loss'!E36</f>
        <v>2335734.6425000001</v>
      </c>
      <c r="G147" s="73">
        <f>'6.Cons Profit &amp; Loss'!F36</f>
        <v>2429750.9672500002</v>
      </c>
      <c r="H147" s="73">
        <f>'6.Cons Profit &amp; Loss'!G36</f>
        <v>2484764.7156125</v>
      </c>
      <c r="I147" s="73">
        <f>'6.Cons Profit &amp; Loss'!H36</f>
        <v>2570027.2013931256</v>
      </c>
    </row>
    <row r="148" spans="2:15">
      <c r="B148" s="72" t="s">
        <v>313</v>
      </c>
      <c r="C148" s="73">
        <f>'6.Cons Profit &amp; Loss'!B25*(1+$M$125)</f>
        <v>116161247.81477661</v>
      </c>
      <c r="D148" s="73">
        <f>'6.Cons Profit &amp; Loss'!C25*(1+$M$125)</f>
        <v>138461609.09067053</v>
      </c>
      <c r="E148" s="73">
        <f>'6.Cons Profit &amp; Loss'!D25*(1+$M$125)</f>
        <v>161361706.98315796</v>
      </c>
      <c r="F148" s="73">
        <f>'6.Cons Profit &amp; Loss'!E25*(1+$M$125)</f>
        <v>186211684.24314156</v>
      </c>
      <c r="G148" s="73">
        <f>'6.Cons Profit &amp; Loss'!F25*(1+$M$125)</f>
        <v>213136930.18064287</v>
      </c>
      <c r="H148" s="73">
        <f>'6.Cons Profit &amp; Loss'!G25*(1+$M$125)</f>
        <v>242289039.86560601</v>
      </c>
      <c r="I148" s="73">
        <f>'6.Cons Profit &amp; Loss'!H25*(1+$M$125)</f>
        <v>273830629.48215598</v>
      </c>
    </row>
    <row r="149" spans="2:15">
      <c r="B149" s="72" t="s">
        <v>357</v>
      </c>
      <c r="C149" s="73">
        <f t="shared" ref="C149:I149" si="18">SUM(C147:C148)</f>
        <v>118307127.81477661</v>
      </c>
      <c r="D149" s="73">
        <f t="shared" si="18"/>
        <v>140655583.09067053</v>
      </c>
      <c r="E149" s="73">
        <f t="shared" si="18"/>
        <v>163642915.78315797</v>
      </c>
      <c r="F149" s="73">
        <f t="shared" si="18"/>
        <v>188547418.88564157</v>
      </c>
      <c r="G149" s="73">
        <f t="shared" si="18"/>
        <v>215566681.14789286</v>
      </c>
      <c r="H149" s="73">
        <f t="shared" si="18"/>
        <v>244773804.58121851</v>
      </c>
      <c r="I149" s="73">
        <f t="shared" si="18"/>
        <v>276400656.68354911</v>
      </c>
    </row>
    <row r="150" spans="2:15">
      <c r="B150" s="75" t="s">
        <v>358</v>
      </c>
      <c r="C150" s="76">
        <f t="shared" ref="C150:I150" si="19">+C145-C149</f>
        <v>-2838111.5649206191</v>
      </c>
      <c r="D150" s="76">
        <f t="shared" si="19"/>
        <v>-3289164.357316941</v>
      </c>
      <c r="E150" s="76">
        <f t="shared" si="19"/>
        <v>-3838011.8640006483</v>
      </c>
      <c r="F150" s="76">
        <f t="shared" si="19"/>
        <v>-4403597.3089336157</v>
      </c>
      <c r="G150" s="76">
        <f t="shared" si="19"/>
        <v>-5049562.4076769948</v>
      </c>
      <c r="H150" s="76">
        <f t="shared" si="19"/>
        <v>-5878716.5260232389</v>
      </c>
      <c r="I150" s="76">
        <f t="shared" si="19"/>
        <v>-6816095.1787270904</v>
      </c>
      <c r="N150" s="3"/>
      <c r="O150" s="5"/>
    </row>
    <row r="151" spans="2:15">
      <c r="B151" s="77"/>
      <c r="C151" s="78"/>
      <c r="D151" s="78"/>
      <c r="E151" s="78"/>
      <c r="F151" s="78"/>
      <c r="G151" s="78"/>
      <c r="H151" s="78"/>
      <c r="I151" s="78"/>
    </row>
    <row r="152" spans="2:15">
      <c r="B152" s="80" t="s">
        <v>360</v>
      </c>
      <c r="C152" s="81" t="s">
        <v>2</v>
      </c>
      <c r="D152" s="81" t="s">
        <v>3</v>
      </c>
      <c r="E152" s="81" t="s">
        <v>4</v>
      </c>
      <c r="F152" s="81" t="s">
        <v>5</v>
      </c>
      <c r="G152" s="81" t="s">
        <v>6</v>
      </c>
      <c r="H152" s="81" t="s">
        <v>170</v>
      </c>
      <c r="I152" s="81" t="s">
        <v>169</v>
      </c>
    </row>
    <row r="153" spans="2:15">
      <c r="B153" s="72" t="str">
        <f t="shared" ref="B153:B159" si="20">B138</f>
        <v>Faclitiy 1 - Cleaning &amp; Grading</v>
      </c>
      <c r="C153" s="335">
        <f>'6.Cons Profit &amp; Loss'!B8*(1-$M$124)</f>
        <v>28869357.239923202</v>
      </c>
      <c r="D153" s="335">
        <f>'6.Cons Profit &amp; Loss'!C8*(1-$M$124)</f>
        <v>34714985.048971914</v>
      </c>
      <c r="E153" s="335">
        <f>'6.Cons Profit &amp; Loss'!D8*(1-$M$124)</f>
        <v>40509756.302269712</v>
      </c>
      <c r="F153" s="335">
        <f>'6.Cons Profit &amp; Loss'!E8*(1-$M$124)</f>
        <v>46797217.218274854</v>
      </c>
      <c r="G153" s="335">
        <f>'6.Cons Profit &amp; Loss'!F8*(1-$M$124)</f>
        <v>53612149.835124865</v>
      </c>
      <c r="H153" s="335">
        <f>'6.Cons Profit &amp; Loss'!G8*(1-$M$124)</f>
        <v>60991582.670614175</v>
      </c>
      <c r="I153" s="335">
        <f>'6.Cons Profit &amp; Loss'!H8*(1-$M$124)</f>
        <v>68974928.415064588</v>
      </c>
    </row>
    <row r="154" spans="2:15">
      <c r="B154" s="72" t="str">
        <f t="shared" si="20"/>
        <v>Faclitiy 2 - Processing Unit- Dal Mill</v>
      </c>
      <c r="C154" s="335">
        <f>'6.Cons Profit &amp; Loss'!B9*(1-$M$124)</f>
        <v>0</v>
      </c>
      <c r="D154" s="335">
        <f>'6.Cons Profit &amp; Loss'!C9*(1-$M$124)</f>
        <v>0</v>
      </c>
      <c r="E154" s="335">
        <f>'6.Cons Profit &amp; Loss'!D9*(1-$M$124)</f>
        <v>0</v>
      </c>
      <c r="F154" s="335">
        <f>'6.Cons Profit &amp; Loss'!E9*(1-$M$124)</f>
        <v>0</v>
      </c>
      <c r="G154" s="335">
        <f>'6.Cons Profit &amp; Loss'!F9*(1-$M$124)</f>
        <v>0</v>
      </c>
      <c r="H154" s="335">
        <f>'6.Cons Profit &amp; Loss'!G9*(1-$M$124)</f>
        <v>0</v>
      </c>
      <c r="I154" s="335">
        <f>'6.Cons Profit &amp; Loss'!H9*(1-$M$124)</f>
        <v>0</v>
      </c>
    </row>
    <row r="155" spans="2:15">
      <c r="B155" s="72" t="str">
        <f t="shared" si="20"/>
        <v>Faclitiy 3 - Warehouse</v>
      </c>
      <c r="C155" s="335">
        <f>'6.Cons Profit &amp; Loss'!B10*(1-$M$124)</f>
        <v>1795500</v>
      </c>
      <c r="D155" s="335">
        <f>'6.Cons Profit &amp; Loss'!C10*(1-$M$124)</f>
        <v>2019937.5</v>
      </c>
      <c r="E155" s="335">
        <f>'6.Cons Profit &amp; Loss'!D10*(1-$M$124)</f>
        <v>2262330</v>
      </c>
      <c r="F155" s="335">
        <f>'6.Cons Profit &amp; Loss'!E10*(1-$M$124)</f>
        <v>2523911.9062500009</v>
      </c>
      <c r="G155" s="335">
        <f>'6.Cons Profit &amp; Loss'!F10*(1-$M$124)</f>
        <v>2805996.1781250006</v>
      </c>
      <c r="H155" s="335">
        <f>'6.Cons Profit &amp; Loss'!G10*(1-$M$124)</f>
        <v>2946295.9870312512</v>
      </c>
      <c r="I155" s="335">
        <f>'6.Cons Profit &amp; Loss'!H10*(1-$M$124)</f>
        <v>3093610.7863828135</v>
      </c>
    </row>
    <row r="156" spans="2:15">
      <c r="B156" s="72" t="str">
        <f t="shared" si="20"/>
        <v xml:space="preserve">Faclitiy 4 - Custom Hiring </v>
      </c>
      <c r="C156" s="335">
        <f>'6.Cons Profit &amp; Loss'!B11*(1-$M$124)</f>
        <v>2933600</v>
      </c>
      <c r="D156" s="335">
        <f>'6.Cons Profit &amp; Loss'!C11*(1-$M$124)</f>
        <v>3080280</v>
      </c>
      <c r="E156" s="335">
        <f>'6.Cons Profit &amp; Loss'!D11*(1-$M$124)</f>
        <v>3234294</v>
      </c>
      <c r="F156" s="335">
        <f>'6.Cons Profit &amp; Loss'!E11*(1-$M$124)</f>
        <v>3396008.7</v>
      </c>
      <c r="G156" s="335">
        <f>'6.Cons Profit &amp; Loss'!F11*(1-$M$124)</f>
        <v>3565809.1350000002</v>
      </c>
      <c r="H156" s="335">
        <f>'6.Cons Profit &amp; Loss'!G11*(1-$M$124)</f>
        <v>3744099.5917500006</v>
      </c>
      <c r="I156" s="335">
        <f>'6.Cons Profit &amp; Loss'!H11*(1-$M$124)</f>
        <v>3931304.5713375006</v>
      </c>
    </row>
    <row r="157" spans="2:15">
      <c r="B157" s="72" t="str">
        <f t="shared" si="20"/>
        <v>Faclitiy 5 - Agri Input Centre</v>
      </c>
      <c r="C157" s="335">
        <f>'6.Cons Profit &amp; Loss'!B12*(1-$M$124)</f>
        <v>76097108.197439983</v>
      </c>
      <c r="D157" s="335">
        <f>'6.Cons Profit &amp; Loss'!C12*(1-$M$124)</f>
        <v>90682895.247713983</v>
      </c>
      <c r="E157" s="335">
        <f>'6.Cons Profit &amp; Loss'!D12*(1-$M$124)</f>
        <v>105808278.42092973</v>
      </c>
      <c r="F157" s="335">
        <f>'6.Cons Profit &amp; Loss'!E12*(1-$M$124)</f>
        <v>122219492.67334771</v>
      </c>
      <c r="G157" s="335">
        <f>'6.Cons Profit &amp; Loss'!F12*(1-$M$124)</f>
        <v>140007307.65495521</v>
      </c>
      <c r="H157" s="335">
        <f>'6.Cons Profit &amp; Loss'!G12*(1-$M$124)</f>
        <v>159268355.40304005</v>
      </c>
      <c r="I157" s="335">
        <f>'6.Cons Profit &amp; Loss'!H12*(1-$M$124)</f>
        <v>180105489.65679601</v>
      </c>
    </row>
    <row r="158" spans="2:15">
      <c r="B158" s="72" t="str">
        <f t="shared" si="20"/>
        <v>Facility 6 - Processing Unit - Horti Commodity</v>
      </c>
      <c r="C158" s="335">
        <f>'6.Cons Profit &amp; Loss'!B13*(1-$M$124)</f>
        <v>0</v>
      </c>
      <c r="D158" s="335">
        <f>'6.Cons Profit &amp; Loss'!C13*(1-$M$124)</f>
        <v>0</v>
      </c>
      <c r="E158" s="335">
        <f>'6.Cons Profit &amp; Loss'!D13*(1-$M$124)</f>
        <v>0</v>
      </c>
      <c r="F158" s="335">
        <f>'6.Cons Profit &amp; Loss'!E13*(1-$M$124)</f>
        <v>0</v>
      </c>
      <c r="G158" s="335">
        <f>'6.Cons Profit &amp; Loss'!F13*(1-$M$124)</f>
        <v>0</v>
      </c>
      <c r="H158" s="335">
        <f>'6.Cons Profit &amp; Loss'!G13*(1-$M$124)</f>
        <v>0</v>
      </c>
      <c r="I158" s="335">
        <f>'6.Cons Profit &amp; Loss'!H13*(1-$M$124)</f>
        <v>0</v>
      </c>
    </row>
    <row r="159" spans="2:15">
      <c r="B159" s="72">
        <f t="shared" si="20"/>
        <v>0</v>
      </c>
      <c r="C159" s="335">
        <f>'6.Cons Profit &amp; Loss'!B14*(1-$M$124)</f>
        <v>0</v>
      </c>
      <c r="D159" s="335">
        <f>'6.Cons Profit &amp; Loss'!C14*(1-$M$124)</f>
        <v>0</v>
      </c>
      <c r="E159" s="335">
        <f>'6.Cons Profit &amp; Loss'!D14*(1-$M$124)</f>
        <v>0</v>
      </c>
      <c r="F159" s="335">
        <f>'6.Cons Profit &amp; Loss'!E14*(1-$M$124)</f>
        <v>0</v>
      </c>
      <c r="G159" s="335">
        <f>'6.Cons Profit &amp; Loss'!F14*(1-$M$124)</f>
        <v>0</v>
      </c>
      <c r="H159" s="335">
        <f>'6.Cons Profit &amp; Loss'!G14*(1-$M$124)</f>
        <v>0</v>
      </c>
      <c r="I159" s="335">
        <f>'6.Cons Profit &amp; Loss'!H14*(1-$M$124)</f>
        <v>0</v>
      </c>
    </row>
    <row r="160" spans="2:15">
      <c r="B160" s="72" t="s">
        <v>354</v>
      </c>
      <c r="C160" s="335">
        <f>SUM(C153:C159)</f>
        <v>109695565.43736318</v>
      </c>
      <c r="D160" s="335">
        <f t="shared" ref="D160:I160" si="21">SUM(D153:D159)</f>
        <v>130498097.7966859</v>
      </c>
      <c r="E160" s="335">
        <f t="shared" si="21"/>
        <v>151814658.72319943</v>
      </c>
      <c r="F160" s="335">
        <f t="shared" si="21"/>
        <v>174936630.49787256</v>
      </c>
      <c r="G160" s="335">
        <f t="shared" si="21"/>
        <v>199991262.80320507</v>
      </c>
      <c r="H160" s="335">
        <f t="shared" si="21"/>
        <v>226950333.65243548</v>
      </c>
      <c r="I160" s="335">
        <f t="shared" si="21"/>
        <v>256105333.42958093</v>
      </c>
    </row>
    <row r="161" spans="2:9">
      <c r="B161" s="72" t="s">
        <v>355</v>
      </c>
      <c r="C161" s="335"/>
      <c r="D161" s="335"/>
      <c r="E161" s="335"/>
      <c r="F161" s="335"/>
      <c r="G161" s="335"/>
      <c r="H161" s="335"/>
      <c r="I161" s="335"/>
    </row>
    <row r="162" spans="2:9">
      <c r="B162" s="72" t="s">
        <v>356</v>
      </c>
      <c r="C162" s="335">
        <f>'6.Cons Profit &amp; Loss'!B36</f>
        <v>2145880</v>
      </c>
      <c r="D162" s="335">
        <f>'6.Cons Profit &amp; Loss'!C36</f>
        <v>2193974</v>
      </c>
      <c r="E162" s="335">
        <f>'6.Cons Profit &amp; Loss'!D36</f>
        <v>2281208.7999999998</v>
      </c>
      <c r="F162" s="335">
        <f>'6.Cons Profit &amp; Loss'!E36</f>
        <v>2335734.6425000001</v>
      </c>
      <c r="G162" s="335">
        <f>'6.Cons Profit &amp; Loss'!F36</f>
        <v>2429750.9672500002</v>
      </c>
      <c r="H162" s="335">
        <f>'6.Cons Profit &amp; Loss'!G36</f>
        <v>2484764.7156125</v>
      </c>
      <c r="I162" s="335">
        <f>'6.Cons Profit &amp; Loss'!H36</f>
        <v>2570027.2013931256</v>
      </c>
    </row>
    <row r="163" spans="2:9">
      <c r="B163" s="72" t="s">
        <v>313</v>
      </c>
      <c r="C163" s="335">
        <f>'6.Cons Profit &amp; Loss'!B25*(1-$M$124)</f>
        <v>105098271.83241694</v>
      </c>
      <c r="D163" s="335">
        <f>'6.Cons Profit &amp; Loss'!C25*(1-$M$124)</f>
        <v>125274789.17727333</v>
      </c>
      <c r="E163" s="335">
        <f>'6.Cons Profit &amp; Loss'!D25*(1-$M$124)</f>
        <v>145993925.36571434</v>
      </c>
      <c r="F163" s="335">
        <f>'6.Cons Profit &amp; Loss'!E25*(1-$M$124)</f>
        <v>168477238.12474713</v>
      </c>
      <c r="G163" s="335">
        <f>'6.Cons Profit &amp; Loss'!F25*(1-$M$124)</f>
        <v>192838174.92534354</v>
      </c>
      <c r="H163" s="335">
        <f>'6.Cons Profit &amp; Loss'!G25*(1-$M$124)</f>
        <v>219213893.21173877</v>
      </c>
      <c r="I163" s="335">
        <f>'6.Cons Profit &amp; Loss'!H25*(1-$M$124)</f>
        <v>247751521.9124268</v>
      </c>
    </row>
    <row r="164" spans="2:9">
      <c r="B164" s="72" t="s">
        <v>357</v>
      </c>
      <c r="C164" s="335">
        <f t="shared" ref="C164:I164" si="22">SUM(C162:C163)</f>
        <v>107244151.83241694</v>
      </c>
      <c r="D164" s="335">
        <f t="shared" si="22"/>
        <v>127468763.17727333</v>
      </c>
      <c r="E164" s="335">
        <f t="shared" si="22"/>
        <v>148275134.16571435</v>
      </c>
      <c r="F164" s="335">
        <f t="shared" si="22"/>
        <v>170812972.76724714</v>
      </c>
      <c r="G164" s="335">
        <f t="shared" si="22"/>
        <v>195267925.89259353</v>
      </c>
      <c r="H164" s="335">
        <f t="shared" si="22"/>
        <v>221698657.92735127</v>
      </c>
      <c r="I164" s="335">
        <f t="shared" si="22"/>
        <v>250321549.11381993</v>
      </c>
    </row>
    <row r="165" spans="2:9">
      <c r="B165" s="75" t="s">
        <v>358</v>
      </c>
      <c r="C165" s="337">
        <f t="shared" ref="C165:I165" si="23">+C160-C164</f>
        <v>2451413.6049462408</v>
      </c>
      <c r="D165" s="337">
        <f t="shared" si="23"/>
        <v>3029334.6194125712</v>
      </c>
      <c r="E165" s="337">
        <f t="shared" si="23"/>
        <v>3539524.5574850738</v>
      </c>
      <c r="F165" s="337">
        <f t="shared" si="23"/>
        <v>4123657.7306254208</v>
      </c>
      <c r="G165" s="337">
        <f t="shared" si="23"/>
        <v>4723336.9106115401</v>
      </c>
      <c r="H165" s="337">
        <f t="shared" si="23"/>
        <v>5251675.7250842154</v>
      </c>
      <c r="I165" s="337">
        <f t="shared" si="23"/>
        <v>5783784.3157609999</v>
      </c>
    </row>
    <row r="166" spans="2:9">
      <c r="B166" s="12"/>
      <c r="C166" s="78"/>
      <c r="D166" s="78"/>
      <c r="E166" s="78"/>
      <c r="F166" s="78"/>
      <c r="G166" s="78"/>
      <c r="H166" s="78"/>
      <c r="I166" s="78"/>
    </row>
    <row r="167" spans="2:9">
      <c r="B167" s="80" t="s">
        <v>361</v>
      </c>
      <c r="C167" s="81" t="s">
        <v>2</v>
      </c>
      <c r="D167" s="81" t="s">
        <v>3</v>
      </c>
      <c r="E167" s="81" t="s">
        <v>4</v>
      </c>
      <c r="F167" s="81" t="s">
        <v>5</v>
      </c>
      <c r="G167" s="81" t="s">
        <v>6</v>
      </c>
      <c r="H167" s="81" t="s">
        <v>170</v>
      </c>
      <c r="I167" s="81" t="s">
        <v>169</v>
      </c>
    </row>
    <row r="168" spans="2:9">
      <c r="B168" s="72" t="str">
        <f t="shared" ref="B168:B174" si="24">B153</f>
        <v>Faclitiy 1 - Cleaning &amp; Grading</v>
      </c>
      <c r="C168" s="74">
        <f>'6.Cons Profit &amp; Loss'!B8</f>
        <v>30388797.094656002</v>
      </c>
      <c r="D168" s="74">
        <f>'6.Cons Profit &amp; Loss'!C8</f>
        <v>36542089.525233597</v>
      </c>
      <c r="E168" s="74">
        <f>'6.Cons Profit &amp; Loss'!D8</f>
        <v>42641848.739231281</v>
      </c>
      <c r="F168" s="74">
        <f>'6.Cons Profit &amp; Loss'!E8</f>
        <v>49260228.650815636</v>
      </c>
      <c r="G168" s="74">
        <f>'6.Cons Profit &amp; Loss'!F8</f>
        <v>56433841.931710385</v>
      </c>
      <c r="H168" s="74">
        <f>'6.Cons Profit &amp; Loss'!G8</f>
        <v>64201665.969067559</v>
      </c>
      <c r="I168" s="74">
        <f>'6.Cons Profit &amp; Loss'!H8</f>
        <v>72605187.805331156</v>
      </c>
    </row>
    <row r="169" spans="2:9">
      <c r="B169" s="72" t="str">
        <f t="shared" si="24"/>
        <v>Faclitiy 2 - Processing Unit- Dal Mill</v>
      </c>
      <c r="C169" s="74">
        <f>'6.Cons Profit &amp; Loss'!B9</f>
        <v>0</v>
      </c>
      <c r="D169" s="74">
        <f>'6.Cons Profit &amp; Loss'!C9</f>
        <v>0</v>
      </c>
      <c r="E169" s="74">
        <f>'6.Cons Profit &amp; Loss'!D9</f>
        <v>0</v>
      </c>
      <c r="F169" s="74">
        <f>'6.Cons Profit &amp; Loss'!E9</f>
        <v>0</v>
      </c>
      <c r="G169" s="74">
        <f>'6.Cons Profit &amp; Loss'!F9</f>
        <v>0</v>
      </c>
      <c r="H169" s="74">
        <f>'6.Cons Profit &amp; Loss'!G9</f>
        <v>0</v>
      </c>
      <c r="I169" s="74">
        <f>'6.Cons Profit &amp; Loss'!H9</f>
        <v>0</v>
      </c>
    </row>
    <row r="170" spans="2:9">
      <c r="B170" s="72" t="str">
        <f t="shared" si="24"/>
        <v>Faclitiy 3 - Warehouse</v>
      </c>
      <c r="C170" s="74">
        <f>'6.Cons Profit &amp; Loss'!B10</f>
        <v>1890000</v>
      </c>
      <c r="D170" s="74">
        <f>'6.Cons Profit &amp; Loss'!C10</f>
        <v>2126250</v>
      </c>
      <c r="E170" s="74">
        <f>'6.Cons Profit &amp; Loss'!D10</f>
        <v>2381400</v>
      </c>
      <c r="F170" s="74">
        <f>'6.Cons Profit &amp; Loss'!E10</f>
        <v>2656749.3750000009</v>
      </c>
      <c r="G170" s="74">
        <f>'6.Cons Profit &amp; Loss'!F10</f>
        <v>2953680.1875000009</v>
      </c>
      <c r="H170" s="74">
        <f>'6.Cons Profit &amp; Loss'!G10</f>
        <v>3101364.1968750013</v>
      </c>
      <c r="I170" s="74">
        <f>'6.Cons Profit &amp; Loss'!H10</f>
        <v>3256432.4067187514</v>
      </c>
    </row>
    <row r="171" spans="2:9">
      <c r="B171" s="72" t="str">
        <f t="shared" si="24"/>
        <v xml:space="preserve">Faclitiy 4 - Custom Hiring </v>
      </c>
      <c r="C171" s="74">
        <f>'6.Cons Profit &amp; Loss'!B11</f>
        <v>3088000</v>
      </c>
      <c r="D171" s="74">
        <f>'6.Cons Profit &amp; Loss'!C11</f>
        <v>3242400</v>
      </c>
      <c r="E171" s="74">
        <f>'6.Cons Profit &amp; Loss'!D11</f>
        <v>3404520</v>
      </c>
      <c r="F171" s="74">
        <f>'6.Cons Profit &amp; Loss'!E11</f>
        <v>3574746.0000000005</v>
      </c>
      <c r="G171" s="74">
        <f>'6.Cons Profit &amp; Loss'!F11</f>
        <v>3753483.3000000003</v>
      </c>
      <c r="H171" s="74">
        <f>'6.Cons Profit &amp; Loss'!G11</f>
        <v>3941157.4650000008</v>
      </c>
      <c r="I171" s="74">
        <f>'6.Cons Profit &amp; Loss'!H11</f>
        <v>4138215.338250001</v>
      </c>
    </row>
    <row r="172" spans="2:9">
      <c r="B172" s="72" t="str">
        <f t="shared" si="24"/>
        <v>Faclitiy 5 - Agri Input Centre</v>
      </c>
      <c r="C172" s="74">
        <f>'6.Cons Profit &amp; Loss'!B12</f>
        <v>80102219.15519999</v>
      </c>
      <c r="D172" s="74">
        <f>'6.Cons Profit &amp; Loss'!C12</f>
        <v>95455679.208119988</v>
      </c>
      <c r="E172" s="74">
        <f>'6.Cons Profit &amp; Loss'!D12</f>
        <v>111377135.17992604</v>
      </c>
      <c r="F172" s="74">
        <f>'6.Cons Profit &amp; Loss'!E12</f>
        <v>128652097.55089234</v>
      </c>
      <c r="G172" s="74">
        <f>'6.Cons Profit &amp; Loss'!F12</f>
        <v>147376113.32100549</v>
      </c>
      <c r="H172" s="74">
        <f>'6.Cons Profit &amp; Loss'!G12</f>
        <v>167650900.42425269</v>
      </c>
      <c r="I172" s="74">
        <f>'6.Cons Profit &amp; Loss'!H12</f>
        <v>189584725.95452213</v>
      </c>
    </row>
    <row r="173" spans="2:9">
      <c r="B173" s="72" t="str">
        <f t="shared" si="24"/>
        <v>Facility 6 - Processing Unit - Horti Commodity</v>
      </c>
      <c r="C173" s="74">
        <f>'6.Cons Profit &amp; Loss'!B13</f>
        <v>0</v>
      </c>
      <c r="D173" s="74">
        <f>'6.Cons Profit &amp; Loss'!C13</f>
        <v>0</v>
      </c>
      <c r="E173" s="74">
        <f>'6.Cons Profit &amp; Loss'!D13</f>
        <v>0</v>
      </c>
      <c r="F173" s="74">
        <f>'6.Cons Profit &amp; Loss'!E13</f>
        <v>0</v>
      </c>
      <c r="G173" s="74">
        <f>'6.Cons Profit &amp; Loss'!F13</f>
        <v>0</v>
      </c>
      <c r="H173" s="74">
        <f>'6.Cons Profit &amp; Loss'!G13</f>
        <v>0</v>
      </c>
      <c r="I173" s="74">
        <f>'6.Cons Profit &amp; Loss'!H13</f>
        <v>0</v>
      </c>
    </row>
    <row r="174" spans="2:9">
      <c r="B174" s="72">
        <f t="shared" si="24"/>
        <v>0</v>
      </c>
      <c r="C174" s="74">
        <f>'6.Cons Profit &amp; Loss'!B14</f>
        <v>0</v>
      </c>
      <c r="D174" s="74">
        <f>'6.Cons Profit &amp; Loss'!C14</f>
        <v>0</v>
      </c>
      <c r="E174" s="74">
        <f>'6.Cons Profit &amp; Loss'!D14</f>
        <v>0</v>
      </c>
      <c r="F174" s="74">
        <f>'6.Cons Profit &amp; Loss'!E14</f>
        <v>0</v>
      </c>
      <c r="G174" s="74">
        <f>'6.Cons Profit &amp; Loss'!F14</f>
        <v>0</v>
      </c>
      <c r="H174" s="74">
        <f>'6.Cons Profit &amp; Loss'!G14</f>
        <v>0</v>
      </c>
      <c r="I174" s="74">
        <f>'6.Cons Profit &amp; Loss'!H14</f>
        <v>0</v>
      </c>
    </row>
    <row r="175" spans="2:9">
      <c r="B175" s="72" t="s">
        <v>354</v>
      </c>
      <c r="C175" s="74">
        <f>SUM(C168:C174)</f>
        <v>115469016.249856</v>
      </c>
      <c r="D175" s="74">
        <f t="shared" ref="D175:I175" si="25">SUM(D168:D174)</f>
        <v>137366418.73335359</v>
      </c>
      <c r="E175" s="74">
        <f t="shared" si="25"/>
        <v>159804903.91915733</v>
      </c>
      <c r="F175" s="74">
        <f t="shared" si="25"/>
        <v>184143821.57670796</v>
      </c>
      <c r="G175" s="74">
        <f t="shared" si="25"/>
        <v>210517118.74021587</v>
      </c>
      <c r="H175" s="74">
        <f t="shared" si="25"/>
        <v>238895088.05519527</v>
      </c>
      <c r="I175" s="74">
        <f t="shared" si="25"/>
        <v>269584561.50482202</v>
      </c>
    </row>
    <row r="176" spans="2:9">
      <c r="B176" s="72" t="s">
        <v>355</v>
      </c>
      <c r="C176" s="74"/>
      <c r="D176" s="74"/>
      <c r="E176" s="74"/>
      <c r="F176" s="74"/>
      <c r="G176" s="74"/>
      <c r="H176" s="74"/>
      <c r="I176" s="74"/>
    </row>
    <row r="177" spans="2:13">
      <c r="B177" s="72" t="s">
        <v>356</v>
      </c>
      <c r="C177" s="74">
        <f>'6.Cons Profit &amp; Loss'!B36</f>
        <v>2145880</v>
      </c>
      <c r="D177" s="74">
        <f>'6.Cons Profit &amp; Loss'!C36</f>
        <v>2193974</v>
      </c>
      <c r="E177" s="74">
        <f>'6.Cons Profit &amp; Loss'!D36</f>
        <v>2281208.7999999998</v>
      </c>
      <c r="F177" s="74">
        <f>'6.Cons Profit &amp; Loss'!E36</f>
        <v>2335734.6425000001</v>
      </c>
      <c r="G177" s="74">
        <f>'6.Cons Profit &amp; Loss'!F36</f>
        <v>2429750.9672500002</v>
      </c>
      <c r="H177" s="74">
        <f>'6.Cons Profit &amp; Loss'!G36</f>
        <v>2484764.7156125</v>
      </c>
      <c r="I177" s="74">
        <f>'6.Cons Profit &amp; Loss'!H36</f>
        <v>2570027.2013931256</v>
      </c>
    </row>
    <row r="178" spans="2:13">
      <c r="B178" s="72" t="s">
        <v>313</v>
      </c>
      <c r="C178" s="74">
        <f>'6.Cons Profit &amp; Loss'!B25*(1-$M$125)</f>
        <v>105098271.83241694</v>
      </c>
      <c r="D178" s="74">
        <f>'6.Cons Profit &amp; Loss'!C25*(1-$M$125)</f>
        <v>125274789.17727333</v>
      </c>
      <c r="E178" s="74">
        <f>'6.Cons Profit &amp; Loss'!D25*(1-$M$125)</f>
        <v>145993925.36571434</v>
      </c>
      <c r="F178" s="74">
        <f>'6.Cons Profit &amp; Loss'!E25*(1-$M$125)</f>
        <v>168477238.12474713</v>
      </c>
      <c r="G178" s="74">
        <f>'6.Cons Profit &amp; Loss'!F25*(1-$M$125)</f>
        <v>192838174.92534354</v>
      </c>
      <c r="H178" s="74">
        <f>'6.Cons Profit &amp; Loss'!G25*(1-$M$125)</f>
        <v>219213893.21173877</v>
      </c>
      <c r="I178" s="74">
        <f>'6.Cons Profit &amp; Loss'!H25*(1-$M$125)</f>
        <v>247751521.9124268</v>
      </c>
    </row>
    <row r="179" spans="2:13">
      <c r="B179" s="72" t="s">
        <v>357</v>
      </c>
      <c r="C179" s="74">
        <f t="shared" ref="C179:I179" si="26">SUM(C177:C178)</f>
        <v>107244151.83241694</v>
      </c>
      <c r="D179" s="74">
        <f t="shared" si="26"/>
        <v>127468763.17727333</v>
      </c>
      <c r="E179" s="74">
        <f t="shared" si="26"/>
        <v>148275134.16571435</v>
      </c>
      <c r="F179" s="74">
        <f t="shared" si="26"/>
        <v>170812972.76724714</v>
      </c>
      <c r="G179" s="74">
        <f t="shared" si="26"/>
        <v>195267925.89259353</v>
      </c>
      <c r="H179" s="74">
        <f t="shared" si="26"/>
        <v>221698657.92735127</v>
      </c>
      <c r="I179" s="74">
        <f t="shared" si="26"/>
        <v>250321549.11381993</v>
      </c>
    </row>
    <row r="180" spans="2:13">
      <c r="B180" s="75" t="s">
        <v>358</v>
      </c>
      <c r="C180" s="336">
        <f t="shared" ref="C180:I180" si="27">+C175-C179</f>
        <v>8224864.4174390584</v>
      </c>
      <c r="D180" s="336">
        <f t="shared" si="27"/>
        <v>9897655.5560802519</v>
      </c>
      <c r="E180" s="336">
        <f t="shared" si="27"/>
        <v>11529769.753442973</v>
      </c>
      <c r="F180" s="336">
        <f t="shared" si="27"/>
        <v>13330848.809460819</v>
      </c>
      <c r="G180" s="336">
        <f t="shared" si="27"/>
        <v>15249192.847622335</v>
      </c>
      <c r="H180" s="336">
        <f t="shared" si="27"/>
        <v>17196430.127844006</v>
      </c>
      <c r="I180" s="336">
        <f t="shared" si="27"/>
        <v>19263012.391002089</v>
      </c>
    </row>
    <row r="182" spans="2:13" ht="41.1" customHeight="1">
      <c r="B182" s="463" t="s">
        <v>547</v>
      </c>
      <c r="C182" s="463"/>
      <c r="D182" s="463"/>
      <c r="E182" s="463"/>
      <c r="F182" s="463"/>
      <c r="G182" s="463"/>
      <c r="H182" s="463"/>
      <c r="I182" s="463"/>
      <c r="J182" s="343"/>
      <c r="K182" s="343"/>
      <c r="L182" s="343"/>
      <c r="M182" s="343"/>
    </row>
  </sheetData>
  <mergeCells count="20">
    <mergeCell ref="B5:J5"/>
    <mergeCell ref="B26:I26"/>
    <mergeCell ref="B54:I54"/>
    <mergeCell ref="B24:J24"/>
    <mergeCell ref="B51:J51"/>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43" orientation="landscape" r:id="rId2"/>
  <rowBreaks count="2" manualBreakCount="2">
    <brk id="75" min="1" max="9" man="1"/>
    <brk id="119"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topLeftCell="A88" zoomScaleSheetLayoutView="80" workbookViewId="0">
      <selection activeCell="J29" sqref="J29"/>
    </sheetView>
  </sheetViews>
  <sheetFormatPr defaultRowHeight="14.4"/>
  <cols>
    <col min="1" max="1" width="49.10937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28" t="s">
        <v>607</v>
      </c>
      <c r="B1" s="428"/>
      <c r="C1" s="428"/>
      <c r="D1" s="428"/>
      <c r="E1" s="428"/>
      <c r="F1" s="428"/>
      <c r="G1" s="428"/>
      <c r="H1" s="428"/>
    </row>
    <row r="2" spans="1:26">
      <c r="B2" s="3"/>
    </row>
    <row r="3" spans="1:26" ht="17.399999999999999">
      <c r="A3" s="475" t="s">
        <v>576</v>
      </c>
      <c r="B3" s="475"/>
    </row>
    <row r="4" spans="1:26">
      <c r="A4" s="289" t="s">
        <v>0</v>
      </c>
      <c r="B4" s="307" t="s">
        <v>395</v>
      </c>
      <c r="C4" s="308"/>
      <c r="D4" s="308"/>
      <c r="E4" s="308"/>
      <c r="F4" s="308"/>
      <c r="G4" s="308"/>
      <c r="H4" s="308"/>
    </row>
    <row r="5" spans="1:26">
      <c r="A5" s="9" t="s">
        <v>503</v>
      </c>
      <c r="B5" s="285">
        <v>260</v>
      </c>
      <c r="C5" s="309"/>
      <c r="D5" s="310"/>
      <c r="E5" s="310"/>
      <c r="F5" s="310"/>
      <c r="G5" s="310"/>
      <c r="H5" s="310"/>
    </row>
    <row r="6" spans="1:26">
      <c r="A6" s="9" t="s">
        <v>504</v>
      </c>
      <c r="B6" s="285">
        <v>1500</v>
      </c>
      <c r="C6" s="309"/>
      <c r="D6" s="310"/>
      <c r="E6" s="310"/>
      <c r="F6" s="310"/>
      <c r="G6" s="310"/>
      <c r="H6" s="310"/>
    </row>
    <row r="7" spans="1:26">
      <c r="A7" s="1" t="s">
        <v>1</v>
      </c>
      <c r="B7" s="333">
        <f>B5+B6</f>
        <v>1760</v>
      </c>
      <c r="C7" s="311"/>
      <c r="D7" s="312"/>
      <c r="E7" s="312"/>
      <c r="F7" s="312"/>
      <c r="G7" s="312"/>
      <c r="H7" s="312"/>
    </row>
    <row r="8" spans="1:26">
      <c r="A8" s="1" t="s">
        <v>505</v>
      </c>
      <c r="B8" s="332">
        <v>1.5</v>
      </c>
      <c r="C8" s="311"/>
      <c r="D8" s="311"/>
      <c r="E8" s="311"/>
      <c r="F8" s="311"/>
      <c r="G8" s="311"/>
      <c r="H8" s="311"/>
    </row>
    <row r="9" spans="1:26">
      <c r="A9" s="1" t="s">
        <v>510</v>
      </c>
      <c r="B9" s="333">
        <f>B7*B8</f>
        <v>2640</v>
      </c>
      <c r="C9" s="312"/>
      <c r="D9" s="312"/>
      <c r="E9" s="312"/>
      <c r="F9" s="312"/>
      <c r="G9" s="312"/>
      <c r="H9" s="312"/>
    </row>
    <row r="10" spans="1:26">
      <c r="J10" t="s">
        <v>458</v>
      </c>
      <c r="O10" t="s">
        <v>454</v>
      </c>
      <c r="U10" t="s">
        <v>455</v>
      </c>
      <c r="Y10" t="s">
        <v>456</v>
      </c>
      <c r="Z10" t="s">
        <v>457</v>
      </c>
    </row>
    <row r="11" spans="1:26" ht="17.399999999999999">
      <c r="A11" s="428" t="s">
        <v>577</v>
      </c>
      <c r="B11" s="428"/>
      <c r="C11" s="428"/>
      <c r="D11" s="428"/>
      <c r="E11" s="428"/>
      <c r="F11" s="428"/>
      <c r="G11" s="428"/>
      <c r="H11" s="428"/>
      <c r="I11" s="284"/>
      <c r="J11" s="284"/>
      <c r="K11" s="284"/>
      <c r="L11" s="284"/>
      <c r="M11" s="284"/>
      <c r="N11" s="284"/>
      <c r="O11" s="284"/>
      <c r="P11" s="284"/>
    </row>
    <row r="12" spans="1:26">
      <c r="J12" s="2">
        <v>0.65</v>
      </c>
      <c r="K12" s="303">
        <f>J12+0.05</f>
        <v>0.70000000000000007</v>
      </c>
      <c r="L12" s="303">
        <f t="shared" ref="L12:N12" si="0">K12+0.05</f>
        <v>0.75000000000000011</v>
      </c>
      <c r="M12" s="303">
        <f t="shared" si="0"/>
        <v>0.80000000000000016</v>
      </c>
      <c r="N12" s="30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8.8">
      <c r="A13" s="289" t="s">
        <v>399</v>
      </c>
      <c r="B13" s="289" t="s">
        <v>400</v>
      </c>
      <c r="C13" s="290" t="s">
        <v>453</v>
      </c>
      <c r="D13" s="290" t="s">
        <v>459</v>
      </c>
      <c r="E13" s="290" t="s">
        <v>460</v>
      </c>
      <c r="F13" s="290" t="s">
        <v>401</v>
      </c>
      <c r="G13" s="290" t="s">
        <v>651</v>
      </c>
      <c r="H13" s="290" t="s">
        <v>402</v>
      </c>
      <c r="O13" s="302" t="s">
        <v>2</v>
      </c>
      <c r="P13" s="302" t="s">
        <v>3</v>
      </c>
      <c r="Q13" s="302" t="s">
        <v>4</v>
      </c>
      <c r="R13" s="302" t="s">
        <v>5</v>
      </c>
      <c r="S13" s="302" t="s">
        <v>6</v>
      </c>
      <c r="T13" s="302" t="s">
        <v>2</v>
      </c>
      <c r="U13" s="302" t="s">
        <v>3</v>
      </c>
      <c r="V13" s="302" t="s">
        <v>4</v>
      </c>
      <c r="W13" s="302" t="s">
        <v>5</v>
      </c>
      <c r="X13" s="302" t="s">
        <v>6</v>
      </c>
    </row>
    <row r="14" spans="1:26">
      <c r="A14" s="479" t="s">
        <v>403</v>
      </c>
      <c r="B14" s="285" t="s">
        <v>168</v>
      </c>
      <c r="C14" s="300">
        <v>0.88</v>
      </c>
      <c r="D14" s="9">
        <f t="shared" ref="D14:D22" si="3">$B$9*C14</f>
        <v>2323.1999999999998</v>
      </c>
      <c r="E14" s="286">
        <v>10</v>
      </c>
      <c r="F14" s="9">
        <f>D14*E14</f>
        <v>23232</v>
      </c>
      <c r="G14" s="301">
        <v>0.1</v>
      </c>
      <c r="H14" s="9">
        <f>(F14-F14*G14)</f>
        <v>20908.8</v>
      </c>
      <c r="J14">
        <f>$D$14*J12</f>
        <v>1510.08</v>
      </c>
      <c r="K14">
        <f>$D$14*K12</f>
        <v>1626.24</v>
      </c>
      <c r="L14">
        <f>$D$14*L12</f>
        <v>1742.4</v>
      </c>
      <c r="M14">
        <f>$D$14*M12</f>
        <v>1858.5600000000002</v>
      </c>
      <c r="N14">
        <f>$D$14*N12</f>
        <v>1974.7200000000003</v>
      </c>
    </row>
    <row r="15" spans="1:26">
      <c r="A15" s="480"/>
      <c r="B15" s="285" t="s">
        <v>483</v>
      </c>
      <c r="C15" s="300">
        <v>0.1</v>
      </c>
      <c r="D15" s="9">
        <f t="shared" si="3"/>
        <v>264</v>
      </c>
      <c r="E15" s="286">
        <v>6</v>
      </c>
      <c r="F15" s="9">
        <f t="shared" ref="F15:F36" si="4">D15*E15</f>
        <v>1584</v>
      </c>
      <c r="G15" s="301">
        <v>0.05</v>
      </c>
      <c r="H15" s="9">
        <f>(F15-F15*G15)</f>
        <v>1504.8</v>
      </c>
    </row>
    <row r="16" spans="1:26">
      <c r="A16" s="480"/>
      <c r="B16" s="285" t="s">
        <v>482</v>
      </c>
      <c r="C16" s="300">
        <v>0</v>
      </c>
      <c r="D16" s="9">
        <f t="shared" si="3"/>
        <v>0</v>
      </c>
      <c r="E16" s="286">
        <v>4</v>
      </c>
      <c r="F16" s="9">
        <f t="shared" si="4"/>
        <v>0</v>
      </c>
      <c r="G16" s="301">
        <v>0</v>
      </c>
      <c r="H16" s="9">
        <f t="shared" ref="H16:H36" si="5">(F16-F16*G16)</f>
        <v>0</v>
      </c>
    </row>
    <row r="17" spans="1:8">
      <c r="A17" s="480"/>
      <c r="B17" s="285" t="s">
        <v>480</v>
      </c>
      <c r="C17" s="300">
        <v>5.0000000000000001E-3</v>
      </c>
      <c r="D17" s="9">
        <f t="shared" si="3"/>
        <v>13.200000000000001</v>
      </c>
      <c r="E17" s="286">
        <v>5</v>
      </c>
      <c r="F17" s="9">
        <f t="shared" si="4"/>
        <v>66</v>
      </c>
      <c r="G17" s="301">
        <v>0</v>
      </c>
      <c r="H17" s="9">
        <f t="shared" si="5"/>
        <v>66</v>
      </c>
    </row>
    <row r="18" spans="1:8">
      <c r="A18" s="480"/>
      <c r="B18" s="285" t="s">
        <v>404</v>
      </c>
      <c r="C18" s="300">
        <v>0</v>
      </c>
      <c r="D18" s="9">
        <f t="shared" si="3"/>
        <v>0</v>
      </c>
      <c r="E18" s="286">
        <v>20</v>
      </c>
      <c r="F18" s="9">
        <f t="shared" si="4"/>
        <v>0</v>
      </c>
      <c r="G18" s="301">
        <v>0</v>
      </c>
      <c r="H18" s="9">
        <f t="shared" si="5"/>
        <v>0</v>
      </c>
    </row>
    <row r="19" spans="1:8">
      <c r="A19" s="480"/>
      <c r="B19" s="285" t="s">
        <v>481</v>
      </c>
      <c r="C19" s="300">
        <v>0</v>
      </c>
      <c r="D19" s="9">
        <f t="shared" si="3"/>
        <v>0</v>
      </c>
      <c r="E19" s="286">
        <v>7</v>
      </c>
      <c r="F19" s="9">
        <f t="shared" si="4"/>
        <v>0</v>
      </c>
      <c r="G19" s="301">
        <v>0.1</v>
      </c>
      <c r="H19" s="9">
        <f t="shared" si="5"/>
        <v>0</v>
      </c>
    </row>
    <row r="20" spans="1:8">
      <c r="A20" s="480"/>
      <c r="B20" s="285" t="s">
        <v>474</v>
      </c>
      <c r="C20" s="300">
        <v>0</v>
      </c>
      <c r="D20" s="9">
        <f t="shared" si="3"/>
        <v>0</v>
      </c>
      <c r="E20" s="286">
        <v>6</v>
      </c>
      <c r="F20" s="9">
        <f t="shared" si="4"/>
        <v>0</v>
      </c>
      <c r="G20" s="301">
        <v>0.02</v>
      </c>
      <c r="H20" s="9">
        <f t="shared" si="5"/>
        <v>0</v>
      </c>
    </row>
    <row r="21" spans="1:8">
      <c r="A21" s="480"/>
      <c r="B21" s="285" t="s">
        <v>408</v>
      </c>
      <c r="C21" s="300">
        <v>5.0000000000000001E-3</v>
      </c>
      <c r="D21" s="9">
        <f t="shared" si="3"/>
        <v>13.200000000000001</v>
      </c>
      <c r="E21" s="286">
        <v>3</v>
      </c>
      <c r="F21" s="9">
        <f t="shared" si="4"/>
        <v>39.6</v>
      </c>
      <c r="G21" s="301">
        <v>0</v>
      </c>
      <c r="H21" s="9">
        <f t="shared" si="5"/>
        <v>39.6</v>
      </c>
    </row>
    <row r="22" spans="1:8">
      <c r="A22" s="481"/>
      <c r="B22" s="285" t="s">
        <v>484</v>
      </c>
      <c r="C22" s="300">
        <v>0</v>
      </c>
      <c r="D22" s="9">
        <f t="shared" si="3"/>
        <v>0</v>
      </c>
      <c r="E22" s="286"/>
      <c r="F22" s="9">
        <f t="shared" si="4"/>
        <v>0</v>
      </c>
      <c r="G22" s="301">
        <v>0</v>
      </c>
      <c r="H22" s="9">
        <f t="shared" si="5"/>
        <v>0</v>
      </c>
    </row>
    <row r="23" spans="1:8">
      <c r="A23" s="315" t="s">
        <v>488</v>
      </c>
      <c r="B23" s="325">
        <v>0.3</v>
      </c>
      <c r="C23" s="327">
        <f>B9*B23</f>
        <v>792</v>
      </c>
      <c r="D23" s="9"/>
      <c r="E23" s="286"/>
      <c r="F23" s="9"/>
      <c r="G23" s="301"/>
      <c r="H23" s="9"/>
    </row>
    <row r="24" spans="1:8">
      <c r="A24" s="479" t="s">
        <v>405</v>
      </c>
      <c r="B24" s="285" t="s">
        <v>406</v>
      </c>
      <c r="C24" s="300">
        <v>0.02</v>
      </c>
      <c r="D24" s="9">
        <f>C$23*C24</f>
        <v>15.84</v>
      </c>
      <c r="E24" s="286">
        <v>4</v>
      </c>
      <c r="F24" s="9">
        <f t="shared" si="4"/>
        <v>63.36</v>
      </c>
      <c r="G24" s="301">
        <v>0.1</v>
      </c>
      <c r="H24" s="9">
        <f t="shared" si="5"/>
        <v>57.024000000000001</v>
      </c>
    </row>
    <row r="25" spans="1:8">
      <c r="A25" s="480"/>
      <c r="B25" s="285" t="s">
        <v>407</v>
      </c>
      <c r="C25" s="300">
        <v>0.8</v>
      </c>
      <c r="D25" s="9">
        <f>C$23*C25</f>
        <v>633.6</v>
      </c>
      <c r="E25" s="286">
        <v>8</v>
      </c>
      <c r="F25" s="9">
        <f t="shared" si="4"/>
        <v>5068.8</v>
      </c>
      <c r="G25" s="301">
        <v>0.1</v>
      </c>
      <c r="H25" s="9">
        <f t="shared" si="5"/>
        <v>4561.92</v>
      </c>
    </row>
    <row r="26" spans="1:8">
      <c r="A26" s="480"/>
      <c r="B26" s="285" t="s">
        <v>408</v>
      </c>
      <c r="C26" s="300">
        <v>7.0000000000000007E-2</v>
      </c>
      <c r="D26" s="9">
        <f>C$23*C26</f>
        <v>55.440000000000005</v>
      </c>
      <c r="E26" s="286">
        <v>4</v>
      </c>
      <c r="F26" s="9">
        <f t="shared" si="4"/>
        <v>221.76000000000002</v>
      </c>
      <c r="G26" s="301">
        <v>0.05</v>
      </c>
      <c r="H26" s="9">
        <f t="shared" si="5"/>
        <v>210.67200000000003</v>
      </c>
    </row>
    <row r="27" spans="1:8">
      <c r="A27" s="480"/>
      <c r="B27" s="285" t="s">
        <v>404</v>
      </c>
      <c r="C27" s="300">
        <v>0</v>
      </c>
      <c r="D27" s="9">
        <f t="shared" ref="D27:D31" si="6">C$23*C27</f>
        <v>0</v>
      </c>
      <c r="E27" s="286">
        <v>20</v>
      </c>
      <c r="F27" s="9">
        <f t="shared" si="4"/>
        <v>0</v>
      </c>
      <c r="G27" s="301">
        <v>0</v>
      </c>
      <c r="H27" s="9">
        <f t="shared" si="5"/>
        <v>0</v>
      </c>
    </row>
    <row r="28" spans="1:8">
      <c r="A28" s="480"/>
      <c r="B28" s="285" t="s">
        <v>485</v>
      </c>
      <c r="C28" s="300">
        <v>0.01</v>
      </c>
      <c r="D28" s="9">
        <f t="shared" si="6"/>
        <v>7.92</v>
      </c>
      <c r="E28" s="286">
        <v>3</v>
      </c>
      <c r="F28" s="9">
        <f t="shared" si="4"/>
        <v>23.759999999999998</v>
      </c>
      <c r="G28" s="301">
        <v>0</v>
      </c>
      <c r="H28" s="9">
        <f t="shared" si="5"/>
        <v>23.759999999999998</v>
      </c>
    </row>
    <row r="29" spans="1:8">
      <c r="A29" s="480"/>
      <c r="B29" s="285"/>
      <c r="C29" s="300">
        <v>0</v>
      </c>
      <c r="D29" s="9">
        <f t="shared" si="6"/>
        <v>0</v>
      </c>
      <c r="E29" s="286"/>
      <c r="F29" s="9">
        <f t="shared" si="4"/>
        <v>0</v>
      </c>
      <c r="G29" s="301">
        <v>0</v>
      </c>
      <c r="H29" s="9">
        <f t="shared" si="5"/>
        <v>0</v>
      </c>
    </row>
    <row r="30" spans="1:8">
      <c r="A30" s="480"/>
      <c r="B30" s="285"/>
      <c r="C30" s="300">
        <v>0</v>
      </c>
      <c r="D30" s="9">
        <f t="shared" si="6"/>
        <v>0</v>
      </c>
      <c r="E30" s="286"/>
      <c r="F30" s="9">
        <f t="shared" si="4"/>
        <v>0</v>
      </c>
      <c r="G30" s="301">
        <v>0</v>
      </c>
      <c r="H30" s="9">
        <f t="shared" si="5"/>
        <v>0</v>
      </c>
    </row>
    <row r="31" spans="1:8">
      <c r="A31" s="481"/>
      <c r="B31" s="285"/>
      <c r="C31" s="300">
        <v>0</v>
      </c>
      <c r="D31" s="9">
        <f t="shared" si="6"/>
        <v>0</v>
      </c>
      <c r="E31" s="286"/>
      <c r="F31" s="9">
        <f t="shared" si="4"/>
        <v>0</v>
      </c>
      <c r="G31" s="301">
        <v>0</v>
      </c>
      <c r="H31" s="9">
        <f t="shared" si="5"/>
        <v>0</v>
      </c>
    </row>
    <row r="32" spans="1:8">
      <c r="A32" s="315" t="s">
        <v>487</v>
      </c>
      <c r="B32" s="325">
        <v>0.05</v>
      </c>
      <c r="C32" s="294">
        <f>B9*B32</f>
        <v>132</v>
      </c>
      <c r="D32" s="9"/>
      <c r="E32" s="286"/>
      <c r="F32" s="9"/>
      <c r="G32" s="301"/>
      <c r="H32" s="9"/>
    </row>
    <row r="33" spans="1:8">
      <c r="A33" s="404" t="s">
        <v>465</v>
      </c>
      <c r="B33" s="285" t="s">
        <v>486</v>
      </c>
      <c r="C33" s="300">
        <v>0</v>
      </c>
      <c r="D33" s="9">
        <f>C$32*C33</f>
        <v>0</v>
      </c>
      <c r="E33" s="286"/>
      <c r="F33" s="9">
        <f t="shared" si="4"/>
        <v>0</v>
      </c>
      <c r="G33" s="301">
        <v>0</v>
      </c>
      <c r="H33" s="9">
        <f t="shared" si="5"/>
        <v>0</v>
      </c>
    </row>
    <row r="34" spans="1:8">
      <c r="A34" s="329"/>
      <c r="B34" s="285"/>
      <c r="C34" s="300">
        <v>0</v>
      </c>
      <c r="D34" s="9">
        <f>C$32*C34</f>
        <v>0</v>
      </c>
      <c r="E34" s="286"/>
      <c r="F34" s="9">
        <f t="shared" si="4"/>
        <v>0</v>
      </c>
      <c r="G34" s="301">
        <v>0</v>
      </c>
      <c r="H34" s="9">
        <f t="shared" si="5"/>
        <v>0</v>
      </c>
    </row>
    <row r="35" spans="1:8">
      <c r="A35" s="329"/>
      <c r="B35" s="285"/>
      <c r="C35" s="300">
        <v>0</v>
      </c>
      <c r="D35" s="9">
        <f>C$32*C35</f>
        <v>0</v>
      </c>
      <c r="E35" s="286"/>
      <c r="F35" s="9">
        <f t="shared" si="4"/>
        <v>0</v>
      </c>
      <c r="G35" s="301">
        <v>0</v>
      </c>
      <c r="H35" s="9">
        <f t="shared" si="5"/>
        <v>0</v>
      </c>
    </row>
    <row r="36" spans="1:8">
      <c r="A36" s="330"/>
      <c r="B36" s="285"/>
      <c r="C36" s="300">
        <v>0</v>
      </c>
      <c r="D36" s="9">
        <f>C$32*C36</f>
        <v>0</v>
      </c>
      <c r="E36" s="286"/>
      <c r="F36" s="9">
        <f t="shared" si="4"/>
        <v>0</v>
      </c>
      <c r="G36" s="301">
        <v>0</v>
      </c>
      <c r="H36" s="9">
        <f t="shared" si="5"/>
        <v>0</v>
      </c>
    </row>
    <row r="37" spans="1:8">
      <c r="A37" s="478" t="s">
        <v>409</v>
      </c>
      <c r="B37" s="478"/>
      <c r="C37" s="478"/>
      <c r="D37" s="478"/>
      <c r="E37" s="478"/>
      <c r="F37" s="478"/>
      <c r="G37" s="478"/>
      <c r="H37" s="478"/>
    </row>
    <row r="39" spans="1:8" ht="17.399999999999999">
      <c r="A39" s="482" t="s">
        <v>578</v>
      </c>
      <c r="B39" s="483"/>
      <c r="C39" s="483"/>
      <c r="D39" s="483"/>
      <c r="E39" s="483"/>
      <c r="F39" s="483"/>
      <c r="G39" s="483"/>
      <c r="H39" s="484"/>
    </row>
    <row r="40" spans="1:8">
      <c r="A40" s="485" t="s">
        <v>0</v>
      </c>
      <c r="B40" s="316">
        <v>0.4</v>
      </c>
      <c r="C40" s="316">
        <f>B40+0.05</f>
        <v>0.45</v>
      </c>
      <c r="D40" s="316">
        <f t="shared" ref="D40:G40" si="7">C40+0.05</f>
        <v>0.5</v>
      </c>
      <c r="E40" s="316">
        <f t="shared" si="7"/>
        <v>0.55000000000000004</v>
      </c>
      <c r="F40" s="316">
        <f t="shared" si="7"/>
        <v>0.60000000000000009</v>
      </c>
      <c r="G40" s="316">
        <f t="shared" si="7"/>
        <v>0.65000000000000013</v>
      </c>
      <c r="H40" s="316">
        <f>G40+0.05</f>
        <v>0.70000000000000018</v>
      </c>
    </row>
    <row r="41" spans="1:8">
      <c r="A41" s="486"/>
      <c r="B41" s="307" t="s">
        <v>2</v>
      </c>
      <c r="C41" s="307" t="s">
        <v>3</v>
      </c>
      <c r="D41" s="307" t="s">
        <v>4</v>
      </c>
      <c r="E41" s="307" t="s">
        <v>5</v>
      </c>
      <c r="F41" s="307" t="s">
        <v>6</v>
      </c>
      <c r="G41" s="307" t="s">
        <v>170</v>
      </c>
      <c r="H41" s="307" t="s">
        <v>169</v>
      </c>
    </row>
    <row r="42" spans="1:8">
      <c r="A42" s="9" t="str">
        <f t="shared" ref="A42:A50" si="8">B14</f>
        <v>Soybean</v>
      </c>
      <c r="B42" s="9">
        <f t="shared" ref="B42:B50" si="9">H14*$B$40</f>
        <v>8363.52</v>
      </c>
      <c r="C42" s="9">
        <f t="shared" ref="C42:H51" si="10">(B42/B$40)*C$40</f>
        <v>9408.9599999999991</v>
      </c>
      <c r="D42" s="9">
        <f t="shared" si="10"/>
        <v>10454.4</v>
      </c>
      <c r="E42" s="9">
        <f t="shared" si="10"/>
        <v>11499.84</v>
      </c>
      <c r="F42" s="9">
        <f t="shared" si="10"/>
        <v>12545.28</v>
      </c>
      <c r="G42" s="9">
        <f t="shared" si="10"/>
        <v>13590.720000000003</v>
      </c>
      <c r="H42" s="9">
        <f t="shared" si="10"/>
        <v>14636.160000000003</v>
      </c>
    </row>
    <row r="43" spans="1:8">
      <c r="A43" s="9" t="str">
        <f t="shared" si="8"/>
        <v>Red Gram/Tur</v>
      </c>
      <c r="B43" s="9">
        <f t="shared" si="9"/>
        <v>601.91999999999996</v>
      </c>
      <c r="C43" s="9">
        <f t="shared" si="10"/>
        <v>677.15999999999985</v>
      </c>
      <c r="D43" s="9">
        <f t="shared" si="10"/>
        <v>752.39999999999986</v>
      </c>
      <c r="E43" s="9">
        <f t="shared" si="10"/>
        <v>827.63999999999987</v>
      </c>
      <c r="F43" s="9">
        <f t="shared" si="10"/>
        <v>902.88</v>
      </c>
      <c r="G43" s="9">
        <f t="shared" si="10"/>
        <v>978.12</v>
      </c>
      <c r="H43" s="9">
        <f t="shared" si="10"/>
        <v>1053.3600000000001</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26.400000000000002</v>
      </c>
      <c r="C45" s="9">
        <f t="shared" si="10"/>
        <v>29.7</v>
      </c>
      <c r="D45" s="9">
        <f t="shared" si="10"/>
        <v>33</v>
      </c>
      <c r="E45" s="9">
        <f t="shared" si="10"/>
        <v>36.300000000000004</v>
      </c>
      <c r="F45" s="9">
        <f t="shared" si="10"/>
        <v>39.600000000000009</v>
      </c>
      <c r="G45" s="9">
        <f t="shared" si="10"/>
        <v>42.900000000000006</v>
      </c>
      <c r="H45" s="9">
        <f t="shared" si="10"/>
        <v>46.20000000000001</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15.840000000000002</v>
      </c>
      <c r="C49" s="9">
        <f t="shared" si="10"/>
        <v>17.82</v>
      </c>
      <c r="D49" s="9">
        <f t="shared" si="10"/>
        <v>19.8</v>
      </c>
      <c r="E49" s="9">
        <f t="shared" si="10"/>
        <v>21.78</v>
      </c>
      <c r="F49" s="9">
        <f t="shared" si="10"/>
        <v>23.760000000000005</v>
      </c>
      <c r="G49" s="9">
        <f t="shared" si="10"/>
        <v>25.740000000000006</v>
      </c>
      <c r="H49" s="9">
        <f t="shared" si="10"/>
        <v>27.72000000000001</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22.809600000000003</v>
      </c>
      <c r="C51" s="9">
        <f t="shared" si="10"/>
        <v>25.660800000000005</v>
      </c>
      <c r="D51" s="9">
        <f t="shared" si="10"/>
        <v>28.512000000000004</v>
      </c>
      <c r="E51" s="9">
        <f t="shared" si="10"/>
        <v>31.363200000000006</v>
      </c>
      <c r="F51" s="9">
        <f t="shared" si="10"/>
        <v>34.214400000000012</v>
      </c>
      <c r="G51" s="9">
        <f t="shared" si="10"/>
        <v>37.065600000000011</v>
      </c>
      <c r="H51" s="9">
        <f t="shared" si="10"/>
        <v>39.916800000000016</v>
      </c>
    </row>
    <row r="52" spans="1:8">
      <c r="A52" s="9" t="str">
        <f t="shared" si="11"/>
        <v>Bengal Gram/Channa</v>
      </c>
      <c r="B52" s="9">
        <f t="shared" si="12"/>
        <v>1824.768</v>
      </c>
      <c r="C52" s="9">
        <f t="shared" ref="C52:H61" si="13">(B52/B$40)*C$40</f>
        <v>2052.864</v>
      </c>
      <c r="D52" s="9">
        <f t="shared" si="13"/>
        <v>2280.96</v>
      </c>
      <c r="E52" s="9">
        <f t="shared" si="13"/>
        <v>2509.056</v>
      </c>
      <c r="F52" s="9">
        <f t="shared" si="13"/>
        <v>2737.1520000000005</v>
      </c>
      <c r="G52" s="9">
        <f t="shared" si="13"/>
        <v>2965.2480000000005</v>
      </c>
      <c r="H52" s="9">
        <f t="shared" si="13"/>
        <v>3193.344000000001</v>
      </c>
    </row>
    <row r="53" spans="1:8">
      <c r="A53" s="9" t="str">
        <f t="shared" si="11"/>
        <v>Jawar</v>
      </c>
      <c r="B53" s="9">
        <f t="shared" si="12"/>
        <v>84.268800000000013</v>
      </c>
      <c r="C53" s="9">
        <f t="shared" si="13"/>
        <v>94.80240000000002</v>
      </c>
      <c r="D53" s="9">
        <f t="shared" si="13"/>
        <v>105.33600000000001</v>
      </c>
      <c r="E53" s="9">
        <f t="shared" si="13"/>
        <v>115.86960000000002</v>
      </c>
      <c r="F53" s="9">
        <f t="shared" si="13"/>
        <v>126.40320000000004</v>
      </c>
      <c r="G53" s="9">
        <f t="shared" si="13"/>
        <v>136.93680000000003</v>
      </c>
      <c r="H53" s="9">
        <f t="shared" si="13"/>
        <v>147.47040000000004</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9.5039999999999996</v>
      </c>
      <c r="C55" s="9">
        <f t="shared" si="13"/>
        <v>10.692</v>
      </c>
      <c r="D55" s="9">
        <f t="shared" si="13"/>
        <v>11.88</v>
      </c>
      <c r="E55" s="9">
        <f t="shared" si="13"/>
        <v>13.068000000000001</v>
      </c>
      <c r="F55" s="9">
        <f t="shared" si="13"/>
        <v>14.256000000000004</v>
      </c>
      <c r="G55" s="9">
        <f t="shared" si="13"/>
        <v>15.444000000000004</v>
      </c>
      <c r="H55" s="9">
        <f t="shared" si="13"/>
        <v>16.632000000000005</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7.399999999999999">
      <c r="A64" s="487" t="s">
        <v>579</v>
      </c>
      <c r="B64" s="488"/>
      <c r="C64" s="488"/>
      <c r="D64" s="488"/>
      <c r="E64" s="488"/>
      <c r="F64" s="488"/>
      <c r="G64" s="488"/>
      <c r="H64" s="489"/>
    </row>
    <row r="65" spans="1:8">
      <c r="A65" s="490" t="s">
        <v>0</v>
      </c>
      <c r="B65" s="317">
        <v>0.1</v>
      </c>
      <c r="C65" s="317">
        <f>B65+0.05</f>
        <v>0.15000000000000002</v>
      </c>
      <c r="D65" s="317">
        <f t="shared" ref="D65:G65" si="15">C65+0.05</f>
        <v>0.2</v>
      </c>
      <c r="E65" s="317">
        <f t="shared" si="15"/>
        <v>0.25</v>
      </c>
      <c r="F65" s="317">
        <f t="shared" si="15"/>
        <v>0.3</v>
      </c>
      <c r="G65" s="317">
        <f t="shared" si="15"/>
        <v>0.35</v>
      </c>
      <c r="H65" s="317">
        <f>G65+0.05</f>
        <v>0.39999999999999997</v>
      </c>
    </row>
    <row r="66" spans="1:8">
      <c r="A66" s="491"/>
      <c r="B66" s="307" t="s">
        <v>2</v>
      </c>
      <c r="C66" s="307" t="s">
        <v>3</v>
      </c>
      <c r="D66" s="307" t="s">
        <v>4</v>
      </c>
      <c r="E66" s="307" t="s">
        <v>5</v>
      </c>
      <c r="F66" s="307" t="s">
        <v>6</v>
      </c>
      <c r="G66" s="307" t="s">
        <v>170</v>
      </c>
      <c r="H66" s="307" t="s">
        <v>169</v>
      </c>
    </row>
    <row r="67" spans="1:8" s="12"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150.47999999999999</v>
      </c>
      <c r="C68" s="9">
        <f>(B68/B$65)*C$65</f>
        <v>225.72</v>
      </c>
      <c r="D68" s="9">
        <f t="shared" si="17"/>
        <v>300.95999999999998</v>
      </c>
      <c r="E68" s="9">
        <f t="shared" si="17"/>
        <v>376.19999999999993</v>
      </c>
      <c r="F68" s="9">
        <f t="shared" si="17"/>
        <v>451.43999999999988</v>
      </c>
      <c r="G68" s="9">
        <f t="shared" si="17"/>
        <v>526.67999999999984</v>
      </c>
      <c r="H68" s="9">
        <f t="shared" si="17"/>
        <v>601.91999999999985</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6.6000000000000005</v>
      </c>
      <c r="C70" s="9">
        <f t="shared" ref="C70:H70" si="20">(B70/B$65)*C$65</f>
        <v>9.9000000000000021</v>
      </c>
      <c r="D70" s="9">
        <f t="shared" si="20"/>
        <v>13.200000000000001</v>
      </c>
      <c r="E70" s="9">
        <f t="shared" si="20"/>
        <v>16.5</v>
      </c>
      <c r="F70" s="9">
        <f t="shared" si="20"/>
        <v>19.8</v>
      </c>
      <c r="G70" s="9">
        <f t="shared" si="20"/>
        <v>23.099999999999998</v>
      </c>
      <c r="H70" s="9">
        <f t="shared" si="20"/>
        <v>26.4</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H21*$B$65</f>
        <v>3.9600000000000004</v>
      </c>
      <c r="C74" s="9">
        <f t="shared" ref="C74:H74" si="24">(B74/B$65)*C$65</f>
        <v>5.9400000000000013</v>
      </c>
      <c r="D74" s="9">
        <f t="shared" si="24"/>
        <v>7.9200000000000008</v>
      </c>
      <c r="E74" s="9">
        <f t="shared" si="24"/>
        <v>9.9</v>
      </c>
      <c r="F74" s="9">
        <f t="shared" si="24"/>
        <v>11.88</v>
      </c>
      <c r="G74" s="9">
        <f t="shared" si="24"/>
        <v>13.86</v>
      </c>
      <c r="H74" s="9">
        <f t="shared" si="24"/>
        <v>15.84</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5.7024000000000008</v>
      </c>
      <c r="C76" s="9">
        <f t="shared" ref="C76:H76" si="27">(B76/B$65)*C$65</f>
        <v>8.553600000000003</v>
      </c>
      <c r="D76" s="9">
        <f t="shared" si="27"/>
        <v>11.404800000000002</v>
      </c>
      <c r="E76" s="9">
        <f t="shared" si="27"/>
        <v>14.256000000000002</v>
      </c>
      <c r="F76" s="9">
        <f t="shared" si="27"/>
        <v>17.107200000000002</v>
      </c>
      <c r="G76" s="9">
        <f t="shared" si="27"/>
        <v>19.958400000000001</v>
      </c>
      <c r="H76" s="9">
        <f t="shared" si="27"/>
        <v>22.8096</v>
      </c>
    </row>
    <row r="77" spans="1:8">
      <c r="A77" s="9" t="str">
        <f t="shared" si="16"/>
        <v>Bengal Gram/Channa</v>
      </c>
      <c r="B77" s="9">
        <f t="shared" si="26"/>
        <v>456.19200000000001</v>
      </c>
      <c r="C77" s="9">
        <f t="shared" ref="C77:H77" si="28">(B77/B$65)*C$65</f>
        <v>684.28800000000012</v>
      </c>
      <c r="D77" s="9">
        <f t="shared" si="28"/>
        <v>912.38400000000001</v>
      </c>
      <c r="E77" s="9">
        <f t="shared" si="28"/>
        <v>1140.48</v>
      </c>
      <c r="F77" s="9">
        <f t="shared" si="28"/>
        <v>1368.576</v>
      </c>
      <c r="G77" s="9">
        <f t="shared" si="28"/>
        <v>1596.672</v>
      </c>
      <c r="H77" s="9">
        <f t="shared" si="28"/>
        <v>1824.7679999999998</v>
      </c>
    </row>
    <row r="78" spans="1:8">
      <c r="A78" s="9" t="str">
        <f t="shared" si="16"/>
        <v>Jawar</v>
      </c>
      <c r="B78" s="9">
        <f t="shared" si="26"/>
        <v>21.067200000000003</v>
      </c>
      <c r="C78" s="9">
        <f t="shared" ref="C78:H78" si="29">(B78/B$65)*C$65</f>
        <v>31.60080000000001</v>
      </c>
      <c r="D78" s="9">
        <f t="shared" si="29"/>
        <v>42.134400000000007</v>
      </c>
      <c r="E78" s="9">
        <f t="shared" si="29"/>
        <v>52.668000000000006</v>
      </c>
      <c r="F78" s="9">
        <f t="shared" si="29"/>
        <v>63.201600000000006</v>
      </c>
      <c r="G78" s="9">
        <f t="shared" si="29"/>
        <v>73.735200000000006</v>
      </c>
      <c r="H78" s="9">
        <f t="shared" si="29"/>
        <v>84.268799999999999</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2.3759999999999999</v>
      </c>
      <c r="C80" s="9">
        <f t="shared" ref="C80:H80" si="31">(B80/B$65)*C$65</f>
        <v>3.5640000000000001</v>
      </c>
      <c r="D80" s="9">
        <f t="shared" si="31"/>
        <v>4.7519999999999998</v>
      </c>
      <c r="E80" s="9">
        <f t="shared" si="31"/>
        <v>5.9399999999999995</v>
      </c>
      <c r="F80" s="9">
        <f t="shared" si="31"/>
        <v>7.1279999999999992</v>
      </c>
      <c r="G80" s="9">
        <f t="shared" si="31"/>
        <v>8.3159999999999989</v>
      </c>
      <c r="H80" s="9">
        <f t="shared" si="31"/>
        <v>9.5039999999999978</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95"/>
      <c r="C88" s="295"/>
      <c r="D88" s="295"/>
      <c r="E88" s="295"/>
      <c r="F88" s="295"/>
      <c r="G88" s="295"/>
      <c r="H88" s="295"/>
      <c r="I88" s="295"/>
    </row>
    <row r="89" spans="1:9">
      <c r="A89" s="492" t="s">
        <v>580</v>
      </c>
      <c r="B89" s="493"/>
      <c r="C89" s="493"/>
      <c r="D89" s="493"/>
      <c r="E89" s="493"/>
      <c r="F89" s="493"/>
      <c r="G89" s="493"/>
      <c r="H89" s="494"/>
    </row>
    <row r="90" spans="1:9">
      <c r="A90" s="476" t="s">
        <v>0</v>
      </c>
      <c r="B90" s="341">
        <v>0.2</v>
      </c>
      <c r="C90" s="342">
        <f t="shared" ref="C90:H90" si="39">B90+0.025</f>
        <v>0.22500000000000001</v>
      </c>
      <c r="D90" s="342">
        <f t="shared" si="39"/>
        <v>0.25</v>
      </c>
      <c r="E90" s="342">
        <f t="shared" si="39"/>
        <v>0.27500000000000002</v>
      </c>
      <c r="F90" s="342">
        <f t="shared" si="39"/>
        <v>0.30000000000000004</v>
      </c>
      <c r="G90" s="342">
        <f t="shared" si="39"/>
        <v>0.32500000000000007</v>
      </c>
      <c r="H90" s="342">
        <f t="shared" si="39"/>
        <v>0.35000000000000009</v>
      </c>
    </row>
    <row r="91" spans="1:9">
      <c r="A91" s="477"/>
      <c r="B91" s="307" t="s">
        <v>2</v>
      </c>
      <c r="C91" s="307" t="s">
        <v>3</v>
      </c>
      <c r="D91" s="307" t="s">
        <v>4</v>
      </c>
      <c r="E91" s="307" t="s">
        <v>5</v>
      </c>
      <c r="F91" s="307" t="s">
        <v>6</v>
      </c>
      <c r="G91" s="307" t="s">
        <v>170</v>
      </c>
      <c r="H91" s="307" t="s">
        <v>169</v>
      </c>
    </row>
    <row r="92" spans="1:9" s="12" customFormat="1">
      <c r="A92" s="9" t="str">
        <f t="shared" ref="A92:A112" si="40">A67</f>
        <v>Soybean</v>
      </c>
      <c r="B92" s="9">
        <f t="shared" ref="B92:B100" si="41">D14*$B$90</f>
        <v>464.64</v>
      </c>
      <c r="C92" s="304">
        <f t="shared" ref="C92:H92" si="42">(B92/B$90)*C$90</f>
        <v>522.72</v>
      </c>
      <c r="D92" s="304">
        <f t="shared" si="42"/>
        <v>580.80000000000007</v>
      </c>
      <c r="E92" s="304">
        <f t="shared" si="42"/>
        <v>638.88000000000011</v>
      </c>
      <c r="F92" s="304">
        <f t="shared" si="42"/>
        <v>696.96000000000015</v>
      </c>
      <c r="G92" s="304">
        <f t="shared" si="42"/>
        <v>755.04000000000019</v>
      </c>
      <c r="H92" s="304">
        <f t="shared" si="42"/>
        <v>813.12000000000035</v>
      </c>
    </row>
    <row r="93" spans="1:9">
      <c r="A93" s="9" t="str">
        <f t="shared" si="40"/>
        <v>Red Gram/Tur</v>
      </c>
      <c r="B93" s="9">
        <f t="shared" si="41"/>
        <v>52.800000000000004</v>
      </c>
      <c r="C93" s="304">
        <f t="shared" ref="C93:C113" si="43">(B93/B$90)*C$90</f>
        <v>59.4</v>
      </c>
      <c r="D93" s="304">
        <f>(C93/C90)*D90</f>
        <v>66</v>
      </c>
      <c r="E93" s="304">
        <f t="shared" ref="E93:G93" si="44">(D93/D90)*E90</f>
        <v>72.600000000000009</v>
      </c>
      <c r="F93" s="304">
        <f t="shared" si="44"/>
        <v>79.200000000000017</v>
      </c>
      <c r="G93" s="304">
        <f t="shared" si="44"/>
        <v>85.800000000000011</v>
      </c>
      <c r="H93" s="304">
        <f>(G93/G90)*H90</f>
        <v>92.40000000000002</v>
      </c>
    </row>
    <row r="94" spans="1:9">
      <c r="A94" s="9" t="str">
        <f t="shared" si="40"/>
        <v>Paddy/Rice</v>
      </c>
      <c r="B94" s="9">
        <f t="shared" si="41"/>
        <v>0</v>
      </c>
      <c r="C94" s="304">
        <f t="shared" si="43"/>
        <v>0</v>
      </c>
      <c r="D94" s="304">
        <f t="shared" ref="D94:H103" si="45">(C94/C$90)*D$90</f>
        <v>0</v>
      </c>
      <c r="E94" s="304">
        <f t="shared" si="45"/>
        <v>0</v>
      </c>
      <c r="F94" s="304">
        <f t="shared" si="45"/>
        <v>0</v>
      </c>
      <c r="G94" s="304">
        <f t="shared" si="45"/>
        <v>0</v>
      </c>
      <c r="H94" s="304">
        <f t="shared" si="45"/>
        <v>0</v>
      </c>
    </row>
    <row r="95" spans="1:9">
      <c r="A95" s="9" t="str">
        <f t="shared" si="40"/>
        <v>Green Gram/ Moong</v>
      </c>
      <c r="B95" s="9">
        <f t="shared" si="41"/>
        <v>2.6400000000000006</v>
      </c>
      <c r="C95" s="304">
        <f t="shared" si="43"/>
        <v>2.9700000000000006</v>
      </c>
      <c r="D95" s="304">
        <f t="shared" si="45"/>
        <v>3.3000000000000007</v>
      </c>
      <c r="E95" s="304">
        <f t="shared" si="45"/>
        <v>3.6300000000000012</v>
      </c>
      <c r="F95" s="304">
        <f t="shared" si="45"/>
        <v>3.9600000000000013</v>
      </c>
      <c r="G95" s="304">
        <f t="shared" si="45"/>
        <v>4.2900000000000018</v>
      </c>
      <c r="H95" s="304">
        <f t="shared" si="45"/>
        <v>4.6200000000000019</v>
      </c>
    </row>
    <row r="96" spans="1:9">
      <c r="A96" s="9" t="str">
        <f t="shared" si="40"/>
        <v>Maize</v>
      </c>
      <c r="B96" s="304">
        <f t="shared" si="41"/>
        <v>0</v>
      </c>
      <c r="C96" s="304">
        <f t="shared" si="43"/>
        <v>0</v>
      </c>
      <c r="D96" s="304">
        <f t="shared" si="45"/>
        <v>0</v>
      </c>
      <c r="E96" s="304">
        <f t="shared" si="45"/>
        <v>0</v>
      </c>
      <c r="F96" s="304">
        <f t="shared" si="45"/>
        <v>0</v>
      </c>
      <c r="G96" s="304">
        <f t="shared" si="45"/>
        <v>0</v>
      </c>
      <c r="H96" s="304">
        <f t="shared" si="45"/>
        <v>0</v>
      </c>
    </row>
    <row r="97" spans="1:8">
      <c r="A97" s="9" t="str">
        <f t="shared" si="40"/>
        <v>Black Gram/Udid</v>
      </c>
      <c r="B97" s="9">
        <f t="shared" si="41"/>
        <v>0</v>
      </c>
      <c r="C97" s="304">
        <f t="shared" si="43"/>
        <v>0</v>
      </c>
      <c r="D97" s="304">
        <f t="shared" si="45"/>
        <v>0</v>
      </c>
      <c r="E97" s="304">
        <f t="shared" si="45"/>
        <v>0</v>
      </c>
      <c r="F97" s="304">
        <f t="shared" si="45"/>
        <v>0</v>
      </c>
      <c r="G97" s="304">
        <f t="shared" si="45"/>
        <v>0</v>
      </c>
      <c r="H97" s="304">
        <f t="shared" si="45"/>
        <v>0</v>
      </c>
    </row>
    <row r="98" spans="1:8">
      <c r="A98" s="9" t="str">
        <f t="shared" si="40"/>
        <v>Bajra</v>
      </c>
      <c r="B98" s="9">
        <f t="shared" si="41"/>
        <v>0</v>
      </c>
      <c r="C98" s="304">
        <f t="shared" si="43"/>
        <v>0</v>
      </c>
      <c r="D98" s="304">
        <f t="shared" si="45"/>
        <v>0</v>
      </c>
      <c r="E98" s="304">
        <f t="shared" si="45"/>
        <v>0</v>
      </c>
      <c r="F98" s="304">
        <f t="shared" si="45"/>
        <v>0</v>
      </c>
      <c r="G98" s="304">
        <f t="shared" si="45"/>
        <v>0</v>
      </c>
      <c r="H98" s="304">
        <f t="shared" si="45"/>
        <v>0</v>
      </c>
    </row>
    <row r="99" spans="1:8">
      <c r="A99" s="9" t="str">
        <f t="shared" si="40"/>
        <v>Jawar</v>
      </c>
      <c r="B99" s="9">
        <f t="shared" si="41"/>
        <v>2.6400000000000006</v>
      </c>
      <c r="C99" s="304">
        <f t="shared" si="43"/>
        <v>2.9700000000000006</v>
      </c>
      <c r="D99" s="304">
        <f t="shared" si="45"/>
        <v>3.3000000000000007</v>
      </c>
      <c r="E99" s="304">
        <f t="shared" si="45"/>
        <v>3.6300000000000012</v>
      </c>
      <c r="F99" s="304">
        <f t="shared" si="45"/>
        <v>3.9600000000000013</v>
      </c>
      <c r="G99" s="304">
        <f t="shared" si="45"/>
        <v>4.2900000000000018</v>
      </c>
      <c r="H99" s="304">
        <f t="shared" si="45"/>
        <v>4.6200000000000019</v>
      </c>
    </row>
    <row r="100" spans="1:8">
      <c r="A100" s="9" t="str">
        <f t="shared" si="40"/>
        <v>Sunflower</v>
      </c>
      <c r="B100" s="9">
        <f t="shared" si="41"/>
        <v>0</v>
      </c>
      <c r="C100" s="304">
        <f t="shared" si="43"/>
        <v>0</v>
      </c>
      <c r="D100" s="304">
        <f t="shared" si="45"/>
        <v>0</v>
      </c>
      <c r="E100" s="304">
        <f t="shared" si="45"/>
        <v>0</v>
      </c>
      <c r="F100" s="304">
        <f t="shared" si="45"/>
        <v>0</v>
      </c>
      <c r="G100" s="304">
        <f t="shared" si="45"/>
        <v>0</v>
      </c>
      <c r="H100" s="304">
        <f t="shared" si="45"/>
        <v>0</v>
      </c>
    </row>
    <row r="101" spans="1:8">
      <c r="A101" s="9" t="str">
        <f t="shared" si="40"/>
        <v>Wheat</v>
      </c>
      <c r="B101" s="9">
        <f t="shared" ref="B101:B108" si="46">D24*$B$90</f>
        <v>3.1680000000000001</v>
      </c>
      <c r="C101" s="304">
        <f t="shared" si="43"/>
        <v>3.5640000000000001</v>
      </c>
      <c r="D101" s="304">
        <f t="shared" si="45"/>
        <v>3.96</v>
      </c>
      <c r="E101" s="304">
        <f t="shared" si="45"/>
        <v>4.3559999999999999</v>
      </c>
      <c r="F101" s="304">
        <f t="shared" si="45"/>
        <v>4.7519999999999998</v>
      </c>
      <c r="G101" s="304">
        <f t="shared" si="45"/>
        <v>5.1479999999999997</v>
      </c>
      <c r="H101" s="304">
        <f t="shared" si="45"/>
        <v>5.5440000000000005</v>
      </c>
    </row>
    <row r="102" spans="1:8">
      <c r="A102" s="9" t="str">
        <f t="shared" si="40"/>
        <v>Bengal Gram/Channa</v>
      </c>
      <c r="B102" s="9">
        <f t="shared" si="46"/>
        <v>126.72000000000001</v>
      </c>
      <c r="C102" s="304">
        <f t="shared" si="43"/>
        <v>142.56</v>
      </c>
      <c r="D102" s="304">
        <f t="shared" si="45"/>
        <v>158.4</v>
      </c>
      <c r="E102" s="304">
        <f t="shared" si="45"/>
        <v>174.24</v>
      </c>
      <c r="F102" s="304">
        <f t="shared" si="45"/>
        <v>190.08000000000004</v>
      </c>
      <c r="G102" s="304">
        <f t="shared" si="45"/>
        <v>205.92000000000004</v>
      </c>
      <c r="H102" s="304">
        <f t="shared" si="45"/>
        <v>221.76000000000008</v>
      </c>
    </row>
    <row r="103" spans="1:8">
      <c r="A103" s="9" t="str">
        <f t="shared" si="40"/>
        <v>Jawar</v>
      </c>
      <c r="B103" s="9">
        <f t="shared" si="46"/>
        <v>11.088000000000001</v>
      </c>
      <c r="C103" s="304">
        <f t="shared" si="43"/>
        <v>12.474000000000002</v>
      </c>
      <c r="D103" s="304">
        <f t="shared" si="45"/>
        <v>13.860000000000001</v>
      </c>
      <c r="E103" s="304">
        <f t="shared" si="45"/>
        <v>15.246000000000002</v>
      </c>
      <c r="F103" s="304">
        <f t="shared" si="45"/>
        <v>16.632000000000005</v>
      </c>
      <c r="G103" s="304">
        <f t="shared" si="45"/>
        <v>18.018000000000008</v>
      </c>
      <c r="H103" s="304">
        <f t="shared" si="45"/>
        <v>19.404000000000011</v>
      </c>
    </row>
    <row r="104" spans="1:8">
      <c r="A104" s="9" t="str">
        <f t="shared" si="40"/>
        <v>Maize</v>
      </c>
      <c r="B104" s="9">
        <f t="shared" si="46"/>
        <v>0</v>
      </c>
      <c r="C104" s="304">
        <f t="shared" si="43"/>
        <v>0</v>
      </c>
      <c r="D104" s="304">
        <f t="shared" ref="D104:H113" si="47">(C104/C$90)*D$90</f>
        <v>0</v>
      </c>
      <c r="E104" s="304">
        <f t="shared" si="47"/>
        <v>0</v>
      </c>
      <c r="F104" s="304">
        <f t="shared" si="47"/>
        <v>0</v>
      </c>
      <c r="G104" s="304">
        <f t="shared" si="47"/>
        <v>0</v>
      </c>
      <c r="H104" s="304">
        <f t="shared" si="47"/>
        <v>0</v>
      </c>
    </row>
    <row r="105" spans="1:8">
      <c r="A105" s="9" t="str">
        <f t="shared" si="40"/>
        <v>Safflower</v>
      </c>
      <c r="B105" s="9">
        <f t="shared" si="46"/>
        <v>1.5840000000000001</v>
      </c>
      <c r="C105" s="304">
        <f t="shared" si="43"/>
        <v>1.782</v>
      </c>
      <c r="D105" s="304">
        <f t="shared" si="47"/>
        <v>1.98</v>
      </c>
      <c r="E105" s="304">
        <f t="shared" si="47"/>
        <v>2.1779999999999999</v>
      </c>
      <c r="F105" s="304">
        <f t="shared" si="47"/>
        <v>2.3759999999999999</v>
      </c>
      <c r="G105" s="304">
        <f t="shared" si="47"/>
        <v>2.5739999999999998</v>
      </c>
      <c r="H105" s="304">
        <f t="shared" si="47"/>
        <v>2.7720000000000002</v>
      </c>
    </row>
    <row r="106" spans="1:8">
      <c r="A106" s="9">
        <f t="shared" si="40"/>
        <v>0</v>
      </c>
      <c r="B106" s="9">
        <f t="shared" si="46"/>
        <v>0</v>
      </c>
      <c r="C106" s="304">
        <f t="shared" si="43"/>
        <v>0</v>
      </c>
      <c r="D106" s="304">
        <f t="shared" si="47"/>
        <v>0</v>
      </c>
      <c r="E106" s="304">
        <f t="shared" si="47"/>
        <v>0</v>
      </c>
      <c r="F106" s="304">
        <f t="shared" si="47"/>
        <v>0</v>
      </c>
      <c r="G106" s="304">
        <f t="shared" si="47"/>
        <v>0</v>
      </c>
      <c r="H106" s="304">
        <f t="shared" si="47"/>
        <v>0</v>
      </c>
    </row>
    <row r="107" spans="1:8">
      <c r="A107" s="9">
        <f t="shared" si="40"/>
        <v>0</v>
      </c>
      <c r="B107" s="9">
        <f t="shared" si="46"/>
        <v>0</v>
      </c>
      <c r="C107" s="304">
        <f t="shared" si="43"/>
        <v>0</v>
      </c>
      <c r="D107" s="304">
        <f t="shared" si="47"/>
        <v>0</v>
      </c>
      <c r="E107" s="304">
        <f t="shared" si="47"/>
        <v>0</v>
      </c>
      <c r="F107" s="304">
        <f t="shared" si="47"/>
        <v>0</v>
      </c>
      <c r="G107" s="304">
        <f t="shared" si="47"/>
        <v>0</v>
      </c>
      <c r="H107" s="304">
        <f t="shared" si="47"/>
        <v>0</v>
      </c>
    </row>
    <row r="108" spans="1:8">
      <c r="A108" s="9">
        <f t="shared" si="40"/>
        <v>0</v>
      </c>
      <c r="B108" s="9">
        <f t="shared" si="46"/>
        <v>0</v>
      </c>
      <c r="C108" s="304">
        <f t="shared" si="43"/>
        <v>0</v>
      </c>
      <c r="D108" s="304">
        <f t="shared" si="47"/>
        <v>0</v>
      </c>
      <c r="E108" s="304">
        <f t="shared" si="47"/>
        <v>0</v>
      </c>
      <c r="F108" s="304">
        <f t="shared" si="47"/>
        <v>0</v>
      </c>
      <c r="G108" s="304">
        <f t="shared" si="47"/>
        <v>0</v>
      </c>
      <c r="H108" s="304">
        <f t="shared" si="47"/>
        <v>0</v>
      </c>
    </row>
    <row r="109" spans="1:8">
      <c r="A109" s="9" t="str">
        <f t="shared" si="40"/>
        <v>Groundnut</v>
      </c>
      <c r="B109" s="9">
        <f>D33*$B$90</f>
        <v>0</v>
      </c>
      <c r="C109" s="304">
        <f t="shared" si="43"/>
        <v>0</v>
      </c>
      <c r="D109" s="304">
        <f t="shared" si="47"/>
        <v>0</v>
      </c>
      <c r="E109" s="304">
        <f t="shared" si="47"/>
        <v>0</v>
      </c>
      <c r="F109" s="304">
        <f t="shared" si="47"/>
        <v>0</v>
      </c>
      <c r="G109" s="304">
        <f t="shared" si="47"/>
        <v>0</v>
      </c>
      <c r="H109" s="304">
        <f t="shared" si="47"/>
        <v>0</v>
      </c>
    </row>
    <row r="110" spans="1:8">
      <c r="A110" s="9">
        <f t="shared" si="40"/>
        <v>0</v>
      </c>
      <c r="B110" s="9">
        <f>D34*$B$90</f>
        <v>0</v>
      </c>
      <c r="C110" s="304">
        <f t="shared" si="43"/>
        <v>0</v>
      </c>
      <c r="D110" s="304">
        <f t="shared" si="47"/>
        <v>0</v>
      </c>
      <c r="E110" s="304">
        <f t="shared" si="47"/>
        <v>0</v>
      </c>
      <c r="F110" s="304">
        <f t="shared" si="47"/>
        <v>0</v>
      </c>
      <c r="G110" s="304">
        <f t="shared" si="47"/>
        <v>0</v>
      </c>
      <c r="H110" s="304">
        <f t="shared" si="47"/>
        <v>0</v>
      </c>
    </row>
    <row r="111" spans="1:8">
      <c r="A111" s="9">
        <f t="shared" si="40"/>
        <v>0</v>
      </c>
      <c r="B111" s="9">
        <f>D34*$B$90</f>
        <v>0</v>
      </c>
      <c r="C111" s="304">
        <f t="shared" si="43"/>
        <v>0</v>
      </c>
      <c r="D111" s="304">
        <f t="shared" si="47"/>
        <v>0</v>
      </c>
      <c r="E111" s="304">
        <f t="shared" si="47"/>
        <v>0</v>
      </c>
      <c r="F111" s="304">
        <f t="shared" si="47"/>
        <v>0</v>
      </c>
      <c r="G111" s="304">
        <f t="shared" si="47"/>
        <v>0</v>
      </c>
      <c r="H111" s="304">
        <f t="shared" si="47"/>
        <v>0</v>
      </c>
    </row>
    <row r="112" spans="1:8">
      <c r="A112" s="9">
        <f t="shared" si="40"/>
        <v>0</v>
      </c>
      <c r="B112" s="9">
        <f>D36*$B$90</f>
        <v>0</v>
      </c>
      <c r="C112" s="304">
        <f t="shared" si="43"/>
        <v>0</v>
      </c>
      <c r="D112" s="304">
        <f t="shared" si="47"/>
        <v>0</v>
      </c>
      <c r="E112" s="304">
        <f t="shared" si="47"/>
        <v>0</v>
      </c>
      <c r="F112" s="304">
        <f t="shared" si="47"/>
        <v>0</v>
      </c>
      <c r="G112" s="304">
        <f t="shared" si="47"/>
        <v>0</v>
      </c>
      <c r="H112" s="304">
        <f t="shared" si="47"/>
        <v>0</v>
      </c>
    </row>
    <row r="113" spans="1:9">
      <c r="A113" s="9"/>
      <c r="B113" s="9">
        <f>D37*$B$90</f>
        <v>0</v>
      </c>
      <c r="C113" s="304">
        <f t="shared" si="43"/>
        <v>0</v>
      </c>
      <c r="D113" s="304">
        <f t="shared" si="47"/>
        <v>0</v>
      </c>
      <c r="E113" s="304">
        <f t="shared" si="47"/>
        <v>0</v>
      </c>
      <c r="F113" s="304">
        <f t="shared" si="47"/>
        <v>0</v>
      </c>
      <c r="G113" s="304">
        <f t="shared" si="47"/>
        <v>0</v>
      </c>
      <c r="H113" s="304">
        <f t="shared" si="47"/>
        <v>0</v>
      </c>
    </row>
    <row r="115" spans="1:9">
      <c r="C115" s="3"/>
      <c r="D115" s="5"/>
      <c r="E115" s="5"/>
      <c r="F115" s="5"/>
      <c r="G115" s="5"/>
      <c r="H115" s="5"/>
      <c r="I115" s="5"/>
    </row>
    <row r="116" spans="1:9">
      <c r="A116" t="s">
        <v>548</v>
      </c>
      <c r="C116" s="305"/>
      <c r="D116" s="305"/>
      <c r="E116" s="305"/>
      <c r="F116" s="305"/>
      <c r="G116" s="305"/>
      <c r="H116" s="305"/>
      <c r="I116" s="305"/>
    </row>
    <row r="117" spans="1:9">
      <c r="A117">
        <v>1</v>
      </c>
      <c r="B117" t="s">
        <v>603</v>
      </c>
    </row>
    <row r="118" spans="1:9">
      <c r="A118">
        <v>2</v>
      </c>
      <c r="B118" t="s">
        <v>604</v>
      </c>
    </row>
    <row r="119" spans="1:9">
      <c r="A119">
        <v>3</v>
      </c>
      <c r="B119" t="s">
        <v>551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112" zoomScale="80" zoomScaleSheetLayoutView="80" workbookViewId="0">
      <selection activeCell="J1" sqref="J1"/>
    </sheetView>
  </sheetViews>
  <sheetFormatPr defaultRowHeight="14.4"/>
  <cols>
    <col min="1" max="1" width="44.33203125" bestFit="1" customWidth="1"/>
    <col min="2" max="2" width="23.33203125" bestFit="1" customWidth="1"/>
    <col min="3" max="3" width="11.5546875" customWidth="1"/>
    <col min="4" max="4" width="18.88671875" customWidth="1"/>
    <col min="5" max="5" width="15.109375" customWidth="1"/>
    <col min="6" max="7" width="15.88671875" customWidth="1"/>
    <col min="8" max="8" width="21.33203125" customWidth="1"/>
    <col min="9" max="9" width="11.44140625" bestFit="1" customWidth="1"/>
    <col min="10" max="10" width="9.109375" bestFit="1" customWidth="1"/>
  </cols>
  <sheetData>
    <row r="1" spans="1:26" ht="17.399999999999999">
      <c r="A1" s="428" t="s">
        <v>506</v>
      </c>
      <c r="B1" s="428"/>
      <c r="C1" s="428"/>
      <c r="D1" s="428"/>
      <c r="E1" s="428"/>
      <c r="F1" s="428"/>
      <c r="G1" s="428"/>
      <c r="H1" s="428"/>
    </row>
    <row r="2" spans="1:26">
      <c r="B2" s="3"/>
    </row>
    <row r="3" spans="1:26" ht="17.399999999999999">
      <c r="A3" s="475" t="s">
        <v>581</v>
      </c>
      <c r="B3" s="475"/>
    </row>
    <row r="4" spans="1:26">
      <c r="A4" s="289" t="s">
        <v>0</v>
      </c>
      <c r="B4" s="307" t="s">
        <v>395</v>
      </c>
      <c r="C4" s="308"/>
      <c r="D4" s="308"/>
      <c r="E4" s="308"/>
      <c r="F4" s="308"/>
      <c r="G4" s="308"/>
      <c r="H4" s="308"/>
    </row>
    <row r="5" spans="1:26">
      <c r="A5" s="9" t="s">
        <v>499</v>
      </c>
      <c r="B5" s="285"/>
      <c r="C5" s="309"/>
      <c r="D5" s="310"/>
      <c r="E5" s="310"/>
      <c r="F5" s="310"/>
      <c r="G5" s="310"/>
      <c r="H5" s="310"/>
    </row>
    <row r="6" spans="1:26">
      <c r="A6" s="9" t="s">
        <v>500</v>
      </c>
      <c r="B6" s="285"/>
      <c r="C6" s="309"/>
      <c r="D6" s="310"/>
      <c r="E6" s="310"/>
      <c r="F6" s="310"/>
      <c r="G6" s="310"/>
      <c r="H6" s="310"/>
    </row>
    <row r="7" spans="1:26">
      <c r="A7" s="1" t="s">
        <v>1</v>
      </c>
      <c r="B7" s="333">
        <f>B5+B6</f>
        <v>0</v>
      </c>
      <c r="C7" s="311"/>
      <c r="D7" s="312"/>
      <c r="E7" s="312"/>
      <c r="F7" s="312"/>
      <c r="G7" s="312"/>
      <c r="H7" s="312"/>
    </row>
    <row r="8" spans="1:26">
      <c r="A8" s="1" t="s">
        <v>501</v>
      </c>
      <c r="B8" s="332">
        <v>1</v>
      </c>
      <c r="C8" s="311"/>
      <c r="D8" s="311"/>
      <c r="E8" s="311"/>
      <c r="F8" s="311"/>
      <c r="G8" s="311"/>
      <c r="H8" s="311"/>
    </row>
    <row r="9" spans="1:26">
      <c r="A9" s="1" t="s">
        <v>502</v>
      </c>
      <c r="B9" s="333">
        <f>B7*B8</f>
        <v>0</v>
      </c>
      <c r="C9" s="312"/>
      <c r="D9" s="312"/>
      <c r="E9" s="312"/>
      <c r="F9" s="312"/>
      <c r="G9" s="312"/>
      <c r="H9" s="312"/>
    </row>
    <row r="10" spans="1:26">
      <c r="J10" t="s">
        <v>458</v>
      </c>
      <c r="O10" t="s">
        <v>454</v>
      </c>
      <c r="U10" t="s">
        <v>455</v>
      </c>
      <c r="Y10" t="s">
        <v>456</v>
      </c>
      <c r="Z10" t="s">
        <v>457</v>
      </c>
    </row>
    <row r="11" spans="1:26" ht="17.399999999999999">
      <c r="A11" s="428" t="s">
        <v>582</v>
      </c>
      <c r="B11" s="428"/>
      <c r="C11" s="428"/>
      <c r="D11" s="428"/>
      <c r="E11" s="428"/>
      <c r="F11" s="428"/>
      <c r="G11" s="428"/>
      <c r="H11" s="428"/>
      <c r="I11" s="284"/>
      <c r="J11" s="284"/>
      <c r="K11" s="284"/>
      <c r="L11" s="284"/>
      <c r="M11" s="284"/>
      <c r="N11" s="284"/>
      <c r="O11" s="284"/>
      <c r="P11" s="284"/>
    </row>
    <row r="12" spans="1:26">
      <c r="J12" s="2">
        <v>0.65</v>
      </c>
      <c r="K12" s="303">
        <f>J12+0.05</f>
        <v>0.70000000000000007</v>
      </c>
      <c r="L12" s="303">
        <f t="shared" ref="L12:N12" si="0">K12+0.05</f>
        <v>0.75000000000000011</v>
      </c>
      <c r="M12" s="303">
        <f t="shared" si="0"/>
        <v>0.80000000000000016</v>
      </c>
      <c r="N12" s="30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28.8">
      <c r="A13" s="289" t="s">
        <v>399</v>
      </c>
      <c r="B13" s="289" t="s">
        <v>400</v>
      </c>
      <c r="C13" s="290" t="s">
        <v>453</v>
      </c>
      <c r="D13" s="290" t="s">
        <v>459</v>
      </c>
      <c r="E13" s="290" t="s">
        <v>460</v>
      </c>
      <c r="F13" s="290" t="s">
        <v>401</v>
      </c>
      <c r="G13" s="290" t="s">
        <v>651</v>
      </c>
      <c r="H13" s="290" t="s">
        <v>402</v>
      </c>
      <c r="O13" s="302" t="s">
        <v>2</v>
      </c>
      <c r="P13" s="302" t="s">
        <v>3</v>
      </c>
      <c r="Q13" s="302" t="s">
        <v>4</v>
      </c>
      <c r="R13" s="302" t="s">
        <v>5</v>
      </c>
      <c r="S13" s="302" t="s">
        <v>6</v>
      </c>
      <c r="T13" s="302" t="s">
        <v>2</v>
      </c>
      <c r="U13" s="302" t="s">
        <v>3</v>
      </c>
      <c r="V13" s="302" t="s">
        <v>4</v>
      </c>
      <c r="W13" s="302" t="s">
        <v>5</v>
      </c>
      <c r="X13" s="302" t="s">
        <v>6</v>
      </c>
    </row>
    <row r="14" spans="1:26">
      <c r="A14" s="479" t="s">
        <v>403</v>
      </c>
      <c r="B14" s="285" t="s">
        <v>489</v>
      </c>
      <c r="C14" s="300">
        <v>0</v>
      </c>
      <c r="D14" s="9">
        <f t="shared" ref="D14:D40" si="3">$B$9*C14</f>
        <v>0</v>
      </c>
      <c r="E14" s="286">
        <v>15</v>
      </c>
      <c r="F14" s="9">
        <f>D14*E14</f>
        <v>0</v>
      </c>
      <c r="G14" s="301">
        <v>0.1</v>
      </c>
      <c r="H14" s="9">
        <f>(F14-F14*G14)</f>
        <v>0</v>
      </c>
      <c r="J14">
        <f>$D$14*J12</f>
        <v>0</v>
      </c>
      <c r="K14">
        <f>$D$14*K12</f>
        <v>0</v>
      </c>
      <c r="L14">
        <f>$D$14*L12</f>
        <v>0</v>
      </c>
      <c r="M14">
        <f>$D$14*M12</f>
        <v>0</v>
      </c>
      <c r="N14">
        <f>$D$14*N12</f>
        <v>0</v>
      </c>
    </row>
    <row r="15" spans="1:26">
      <c r="A15" s="480"/>
      <c r="B15" s="285" t="s">
        <v>490</v>
      </c>
      <c r="C15" s="300">
        <v>0</v>
      </c>
      <c r="D15" s="9">
        <f t="shared" si="3"/>
        <v>0</v>
      </c>
      <c r="E15" s="286">
        <v>7</v>
      </c>
      <c r="F15" s="9">
        <f t="shared" ref="F15:F40" si="4">D15*E15</f>
        <v>0</v>
      </c>
      <c r="G15" s="301">
        <v>0.05</v>
      </c>
      <c r="H15" s="9">
        <f>(F15-F15*G15)</f>
        <v>0</v>
      </c>
    </row>
    <row r="16" spans="1:26">
      <c r="A16" s="480"/>
      <c r="B16" s="285" t="s">
        <v>491</v>
      </c>
      <c r="C16" s="300">
        <v>0</v>
      </c>
      <c r="D16" s="9">
        <f t="shared" si="3"/>
        <v>0</v>
      </c>
      <c r="E16" s="286">
        <v>4</v>
      </c>
      <c r="F16" s="9">
        <f t="shared" si="4"/>
        <v>0</v>
      </c>
      <c r="G16" s="301">
        <v>0</v>
      </c>
      <c r="H16" s="9">
        <f t="shared" ref="H16:H40" si="5">(F16-F16*G16)</f>
        <v>0</v>
      </c>
    </row>
    <row r="17" spans="1:8">
      <c r="A17" s="480"/>
      <c r="B17" s="285" t="s">
        <v>492</v>
      </c>
      <c r="C17" s="300">
        <v>0</v>
      </c>
      <c r="D17" s="9">
        <f t="shared" si="3"/>
        <v>0</v>
      </c>
      <c r="E17" s="286">
        <v>7</v>
      </c>
      <c r="F17" s="9">
        <f t="shared" si="4"/>
        <v>0</v>
      </c>
      <c r="G17" s="301">
        <v>0.02</v>
      </c>
      <c r="H17" s="9">
        <f t="shared" si="5"/>
        <v>0</v>
      </c>
    </row>
    <row r="18" spans="1:8">
      <c r="A18" s="480"/>
      <c r="B18" s="285" t="s">
        <v>494</v>
      </c>
      <c r="C18" s="300">
        <v>0</v>
      </c>
      <c r="D18" s="9">
        <f t="shared" si="3"/>
        <v>0</v>
      </c>
      <c r="E18" s="286">
        <v>20</v>
      </c>
      <c r="F18" s="9">
        <f t="shared" si="4"/>
        <v>0</v>
      </c>
      <c r="G18" s="301">
        <v>0</v>
      </c>
      <c r="H18" s="9">
        <f t="shared" si="5"/>
        <v>0</v>
      </c>
    </row>
    <row r="19" spans="1:8">
      <c r="A19" s="480"/>
      <c r="B19" s="285"/>
      <c r="C19" s="300">
        <v>0</v>
      </c>
      <c r="D19" s="9">
        <f t="shared" si="3"/>
        <v>0</v>
      </c>
      <c r="E19" s="286">
        <v>7</v>
      </c>
      <c r="F19" s="9">
        <f t="shared" si="4"/>
        <v>0</v>
      </c>
      <c r="G19" s="301">
        <v>0.1</v>
      </c>
      <c r="H19" s="9">
        <f t="shared" si="5"/>
        <v>0</v>
      </c>
    </row>
    <row r="20" spans="1:8">
      <c r="A20" s="480"/>
      <c r="B20" s="285"/>
      <c r="C20" s="300">
        <v>0</v>
      </c>
      <c r="D20" s="9">
        <f t="shared" si="3"/>
        <v>0</v>
      </c>
      <c r="E20" s="286">
        <v>6</v>
      </c>
      <c r="F20" s="9">
        <f t="shared" si="4"/>
        <v>0</v>
      </c>
      <c r="G20" s="301">
        <v>0.02</v>
      </c>
      <c r="H20" s="9">
        <f t="shared" si="5"/>
        <v>0</v>
      </c>
    </row>
    <row r="21" spans="1:8">
      <c r="A21" s="480"/>
      <c r="B21" s="285"/>
      <c r="C21" s="300">
        <v>0</v>
      </c>
      <c r="D21" s="9">
        <f t="shared" si="3"/>
        <v>0</v>
      </c>
      <c r="E21" s="286"/>
      <c r="F21" s="9">
        <f t="shared" si="4"/>
        <v>0</v>
      </c>
      <c r="G21" s="301">
        <v>0</v>
      </c>
      <c r="H21" s="9">
        <f t="shared" si="5"/>
        <v>0</v>
      </c>
    </row>
    <row r="22" spans="1:8">
      <c r="A22" s="481"/>
      <c r="B22" s="285"/>
      <c r="C22" s="300">
        <v>0</v>
      </c>
      <c r="D22" s="9">
        <f t="shared" si="3"/>
        <v>0</v>
      </c>
      <c r="E22" s="286"/>
      <c r="F22" s="9">
        <f t="shared" si="4"/>
        <v>0</v>
      </c>
      <c r="G22" s="301">
        <v>0</v>
      </c>
      <c r="H22" s="9">
        <f t="shared" si="5"/>
        <v>0</v>
      </c>
    </row>
    <row r="23" spans="1:8">
      <c r="A23" s="331" t="s">
        <v>507</v>
      </c>
      <c r="B23" s="325"/>
      <c r="C23" s="326">
        <f>B9*B23</f>
        <v>0</v>
      </c>
      <c r="D23" s="9"/>
      <c r="E23" s="286"/>
      <c r="F23" s="9"/>
      <c r="G23" s="301"/>
      <c r="H23" s="9"/>
    </row>
    <row r="24" spans="1:8">
      <c r="A24" s="479" t="s">
        <v>405</v>
      </c>
      <c r="B24" s="285" t="s">
        <v>489</v>
      </c>
      <c r="C24" s="300">
        <v>0</v>
      </c>
      <c r="D24" s="9">
        <f>C$23*C24</f>
        <v>0</v>
      </c>
      <c r="E24" s="286">
        <v>10</v>
      </c>
      <c r="F24" s="9">
        <f t="shared" si="4"/>
        <v>0</v>
      </c>
      <c r="G24" s="301">
        <v>0.1</v>
      </c>
      <c r="H24" s="9">
        <f t="shared" si="5"/>
        <v>0</v>
      </c>
    </row>
    <row r="25" spans="1:8">
      <c r="A25" s="480"/>
      <c r="B25" s="285" t="s">
        <v>490</v>
      </c>
      <c r="C25" s="300">
        <v>0</v>
      </c>
      <c r="D25" s="9">
        <f>C$23*C25</f>
        <v>0</v>
      </c>
      <c r="E25" s="286">
        <v>10</v>
      </c>
      <c r="F25" s="9">
        <f t="shared" si="4"/>
        <v>0</v>
      </c>
      <c r="G25" s="301">
        <v>0.1</v>
      </c>
      <c r="H25" s="9">
        <f t="shared" si="5"/>
        <v>0</v>
      </c>
    </row>
    <row r="26" spans="1:8">
      <c r="A26" s="480"/>
      <c r="B26" s="285" t="s">
        <v>491</v>
      </c>
      <c r="C26" s="300">
        <v>0</v>
      </c>
      <c r="D26" s="9">
        <f>C$23*C26</f>
        <v>0</v>
      </c>
      <c r="E26" s="286">
        <v>10</v>
      </c>
      <c r="F26" s="9">
        <f t="shared" si="4"/>
        <v>0</v>
      </c>
      <c r="G26" s="301">
        <v>0.05</v>
      </c>
      <c r="H26" s="9">
        <f t="shared" si="5"/>
        <v>0</v>
      </c>
    </row>
    <row r="27" spans="1:8">
      <c r="A27" s="480"/>
      <c r="B27" s="285" t="s">
        <v>492</v>
      </c>
      <c r="C27" s="300">
        <v>0</v>
      </c>
      <c r="D27" s="9">
        <f t="shared" ref="D27:D31" si="6">C$23*C27</f>
        <v>0</v>
      </c>
      <c r="E27" s="286">
        <v>20</v>
      </c>
      <c r="F27" s="9">
        <f t="shared" si="4"/>
        <v>0</v>
      </c>
      <c r="G27" s="301">
        <v>0</v>
      </c>
      <c r="H27" s="9">
        <f t="shared" si="5"/>
        <v>0</v>
      </c>
    </row>
    <row r="28" spans="1:8">
      <c r="A28" s="480"/>
      <c r="B28" s="285" t="s">
        <v>493</v>
      </c>
      <c r="C28" s="300">
        <v>0</v>
      </c>
      <c r="D28" s="9">
        <f t="shared" si="6"/>
        <v>0</v>
      </c>
      <c r="E28" s="286"/>
      <c r="F28" s="9">
        <f t="shared" si="4"/>
        <v>0</v>
      </c>
      <c r="G28" s="301">
        <v>0</v>
      </c>
      <c r="H28" s="9">
        <f t="shared" si="5"/>
        <v>0</v>
      </c>
    </row>
    <row r="29" spans="1:8">
      <c r="A29" s="480"/>
      <c r="B29" s="285"/>
      <c r="C29" s="300">
        <v>0</v>
      </c>
      <c r="D29" s="9">
        <f t="shared" si="6"/>
        <v>0</v>
      </c>
      <c r="E29" s="286"/>
      <c r="F29" s="9">
        <f t="shared" si="4"/>
        <v>0</v>
      </c>
      <c r="G29" s="301">
        <v>0</v>
      </c>
      <c r="H29" s="9">
        <f t="shared" si="5"/>
        <v>0</v>
      </c>
    </row>
    <row r="30" spans="1:8">
      <c r="A30" s="480"/>
      <c r="B30" s="285"/>
      <c r="C30" s="300">
        <v>0</v>
      </c>
      <c r="D30" s="9">
        <f t="shared" si="6"/>
        <v>0</v>
      </c>
      <c r="E30" s="286"/>
      <c r="F30" s="9">
        <f t="shared" si="4"/>
        <v>0</v>
      </c>
      <c r="G30" s="301">
        <v>0</v>
      </c>
      <c r="H30" s="9">
        <f t="shared" si="5"/>
        <v>0</v>
      </c>
    </row>
    <row r="31" spans="1:8">
      <c r="A31" s="481"/>
      <c r="B31" s="285"/>
      <c r="C31" s="300">
        <v>0</v>
      </c>
      <c r="D31" s="9">
        <f t="shared" si="6"/>
        <v>0</v>
      </c>
      <c r="E31" s="286"/>
      <c r="F31" s="9">
        <f t="shared" si="4"/>
        <v>0</v>
      </c>
      <c r="G31" s="301">
        <v>0</v>
      </c>
      <c r="H31" s="9">
        <f t="shared" si="5"/>
        <v>0</v>
      </c>
    </row>
    <row r="32" spans="1:8">
      <c r="A32" s="331" t="s">
        <v>508</v>
      </c>
      <c r="B32" s="325"/>
      <c r="C32" s="285">
        <f>B9*B32</f>
        <v>0</v>
      </c>
      <c r="D32" s="9"/>
      <c r="E32" s="286"/>
      <c r="F32" s="9"/>
      <c r="G32" s="301"/>
      <c r="H32" s="9"/>
    </row>
    <row r="33" spans="1:8">
      <c r="A33" s="328" t="s">
        <v>465</v>
      </c>
      <c r="B33" s="285"/>
      <c r="C33" s="300">
        <v>0</v>
      </c>
      <c r="D33" s="9">
        <f>C$32*C33</f>
        <v>0</v>
      </c>
      <c r="E33" s="286"/>
      <c r="F33" s="9">
        <f t="shared" si="4"/>
        <v>0</v>
      </c>
      <c r="G33" s="301">
        <v>0</v>
      </c>
      <c r="H33" s="9">
        <f t="shared" si="5"/>
        <v>0</v>
      </c>
    </row>
    <row r="34" spans="1:8">
      <c r="A34" s="329"/>
      <c r="B34" s="285"/>
      <c r="C34" s="300">
        <v>0</v>
      </c>
      <c r="D34" s="9">
        <f>C$32*C34</f>
        <v>0</v>
      </c>
      <c r="E34" s="286"/>
      <c r="F34" s="9">
        <f t="shared" si="4"/>
        <v>0</v>
      </c>
      <c r="G34" s="301">
        <v>0</v>
      </c>
      <c r="H34" s="9">
        <f t="shared" si="5"/>
        <v>0</v>
      </c>
    </row>
    <row r="35" spans="1:8">
      <c r="A35" s="329"/>
      <c r="B35" s="285"/>
      <c r="C35" s="300">
        <v>0</v>
      </c>
      <c r="D35" s="9">
        <f>C$32*C35</f>
        <v>0</v>
      </c>
      <c r="E35" s="286"/>
      <c r="F35" s="9">
        <f t="shared" si="4"/>
        <v>0</v>
      </c>
      <c r="G35" s="301">
        <v>0</v>
      </c>
      <c r="H35" s="9">
        <f t="shared" si="5"/>
        <v>0</v>
      </c>
    </row>
    <row r="36" spans="1:8">
      <c r="A36" s="330"/>
      <c r="B36" s="285"/>
      <c r="C36" s="300">
        <v>0</v>
      </c>
      <c r="D36" s="9">
        <f>C$32*C36</f>
        <v>0</v>
      </c>
      <c r="E36" s="286"/>
      <c r="F36" s="9">
        <f t="shared" si="4"/>
        <v>0</v>
      </c>
      <c r="G36" s="301">
        <v>0</v>
      </c>
      <c r="H36" s="9">
        <f t="shared" si="5"/>
        <v>0</v>
      </c>
    </row>
    <row r="37" spans="1:8">
      <c r="A37" s="495" t="s">
        <v>509</v>
      </c>
      <c r="B37" s="285" t="s">
        <v>495</v>
      </c>
      <c r="C37" s="300">
        <v>0</v>
      </c>
      <c r="D37" s="9">
        <f t="shared" si="3"/>
        <v>0</v>
      </c>
      <c r="E37" s="286">
        <v>6</v>
      </c>
      <c r="F37" s="9">
        <f t="shared" si="4"/>
        <v>0</v>
      </c>
      <c r="G37" s="301">
        <v>0.05</v>
      </c>
      <c r="H37" s="9">
        <f t="shared" si="5"/>
        <v>0</v>
      </c>
    </row>
    <row r="38" spans="1:8">
      <c r="A38" s="495"/>
      <c r="B38" s="285" t="s">
        <v>496</v>
      </c>
      <c r="C38" s="300">
        <v>0</v>
      </c>
      <c r="D38" s="9">
        <f t="shared" si="3"/>
        <v>0</v>
      </c>
      <c r="E38" s="286"/>
      <c r="F38" s="9">
        <f t="shared" si="4"/>
        <v>0</v>
      </c>
      <c r="G38" s="301">
        <v>0</v>
      </c>
      <c r="H38" s="9">
        <f t="shared" si="5"/>
        <v>0</v>
      </c>
    </row>
    <row r="39" spans="1:8">
      <c r="A39" s="495"/>
      <c r="B39" s="285" t="s">
        <v>497</v>
      </c>
      <c r="C39" s="300">
        <v>0</v>
      </c>
      <c r="D39" s="9">
        <f t="shared" si="3"/>
        <v>0</v>
      </c>
      <c r="E39" s="286"/>
      <c r="F39" s="9">
        <f t="shared" si="4"/>
        <v>0</v>
      </c>
      <c r="G39" s="301">
        <v>0</v>
      </c>
      <c r="H39" s="9">
        <f t="shared" si="5"/>
        <v>0</v>
      </c>
    </row>
    <row r="40" spans="1:8">
      <c r="A40" s="495"/>
      <c r="B40" s="285" t="s">
        <v>498</v>
      </c>
      <c r="C40" s="300">
        <v>0</v>
      </c>
      <c r="D40" s="9">
        <f t="shared" si="3"/>
        <v>0</v>
      </c>
      <c r="E40" s="286"/>
      <c r="F40" s="9">
        <f t="shared" si="4"/>
        <v>0</v>
      </c>
      <c r="G40" s="301">
        <v>0</v>
      </c>
      <c r="H40" s="9">
        <f t="shared" si="5"/>
        <v>0</v>
      </c>
    </row>
    <row r="41" spans="1:8">
      <c r="A41" s="478" t="s">
        <v>409</v>
      </c>
      <c r="B41" s="478"/>
      <c r="C41" s="478"/>
      <c r="D41" s="478"/>
      <c r="E41" s="478"/>
      <c r="F41" s="478"/>
      <c r="G41" s="478"/>
      <c r="H41" s="478"/>
    </row>
    <row r="43" spans="1:8" ht="17.399999999999999">
      <c r="A43" s="482" t="s">
        <v>583</v>
      </c>
      <c r="B43" s="483"/>
      <c r="C43" s="483"/>
      <c r="D43" s="483"/>
      <c r="E43" s="483"/>
      <c r="F43" s="483"/>
      <c r="G43" s="483"/>
      <c r="H43" s="484"/>
    </row>
    <row r="44" spans="1:8">
      <c r="A44" s="485" t="s">
        <v>0</v>
      </c>
      <c r="B44" s="316">
        <v>0.35</v>
      </c>
      <c r="C44" s="316">
        <f>B44+0.05</f>
        <v>0.39999999999999997</v>
      </c>
      <c r="D44" s="316">
        <f t="shared" ref="D44:G44" si="7">C44+0.05</f>
        <v>0.44999999999999996</v>
      </c>
      <c r="E44" s="316">
        <f t="shared" si="7"/>
        <v>0.49999999999999994</v>
      </c>
      <c r="F44" s="316">
        <f t="shared" si="7"/>
        <v>0.54999999999999993</v>
      </c>
      <c r="G44" s="316">
        <f t="shared" si="7"/>
        <v>0.6</v>
      </c>
      <c r="H44" s="316">
        <f>G44+0.05</f>
        <v>0.65</v>
      </c>
    </row>
    <row r="45" spans="1:8">
      <c r="A45" s="486"/>
      <c r="B45" s="307" t="s">
        <v>2</v>
      </c>
      <c r="C45" s="307" t="s">
        <v>3</v>
      </c>
      <c r="D45" s="307" t="s">
        <v>4</v>
      </c>
      <c r="E45" s="307" t="s">
        <v>5</v>
      </c>
      <c r="F45" s="307" t="s">
        <v>6</v>
      </c>
      <c r="G45" s="307" t="s">
        <v>170</v>
      </c>
      <c r="H45" s="307" t="s">
        <v>169</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7.399999999999999">
      <c r="A71" s="487" t="s">
        <v>584</v>
      </c>
      <c r="B71" s="488"/>
      <c r="C71" s="488"/>
      <c r="D71" s="488"/>
      <c r="E71" s="488"/>
      <c r="F71" s="488"/>
      <c r="G71" s="488"/>
      <c r="H71" s="489"/>
    </row>
    <row r="72" spans="1:8">
      <c r="A72" s="490" t="s">
        <v>0</v>
      </c>
      <c r="B72" s="317">
        <v>0.05</v>
      </c>
      <c r="C72" s="317">
        <f>B72+0.05</f>
        <v>0.1</v>
      </c>
      <c r="D72" s="317">
        <f t="shared" ref="D72:G72" si="26">C72+0.05</f>
        <v>0.15000000000000002</v>
      </c>
      <c r="E72" s="317">
        <f t="shared" si="26"/>
        <v>0.2</v>
      </c>
      <c r="F72" s="317">
        <f t="shared" si="26"/>
        <v>0.25</v>
      </c>
      <c r="G72" s="317">
        <f t="shared" si="26"/>
        <v>0.3</v>
      </c>
      <c r="H72" s="317">
        <f>G72+0.05</f>
        <v>0.35</v>
      </c>
    </row>
    <row r="73" spans="1:8">
      <c r="A73" s="491"/>
      <c r="B73" s="307" t="s">
        <v>2</v>
      </c>
      <c r="C73" s="307" t="s">
        <v>3</v>
      </c>
      <c r="D73" s="307" t="s">
        <v>4</v>
      </c>
      <c r="E73" s="307" t="s">
        <v>5</v>
      </c>
      <c r="F73" s="307" t="s">
        <v>6</v>
      </c>
      <c r="G73" s="307" t="s">
        <v>170</v>
      </c>
      <c r="H73" s="307" t="s">
        <v>169</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95"/>
    </row>
    <row r="99" spans="1:9" ht="17.399999999999999">
      <c r="A99" s="487" t="s">
        <v>585</v>
      </c>
      <c r="B99" s="488"/>
      <c r="C99" s="488"/>
      <c r="D99" s="488"/>
      <c r="E99" s="488"/>
      <c r="F99" s="488"/>
      <c r="G99" s="488"/>
      <c r="H99" s="489"/>
    </row>
    <row r="100" spans="1:9">
      <c r="A100" s="476" t="s">
        <v>0</v>
      </c>
      <c r="B100" s="341">
        <v>0.65</v>
      </c>
      <c r="C100" s="342">
        <f>B100+0.05</f>
        <v>0.70000000000000007</v>
      </c>
      <c r="D100" s="342">
        <f t="shared" ref="D100:G100" si="45">C100+0.05</f>
        <v>0.75000000000000011</v>
      </c>
      <c r="E100" s="342">
        <f t="shared" si="45"/>
        <v>0.80000000000000016</v>
      </c>
      <c r="F100" s="342">
        <f t="shared" si="45"/>
        <v>0.8500000000000002</v>
      </c>
      <c r="G100" s="342">
        <f t="shared" si="45"/>
        <v>0.90000000000000024</v>
      </c>
      <c r="H100" s="342">
        <f>G100+0.05</f>
        <v>0.95000000000000029</v>
      </c>
    </row>
    <row r="101" spans="1:9">
      <c r="A101" s="477"/>
      <c r="B101" s="307" t="s">
        <v>2</v>
      </c>
      <c r="C101" s="307" t="s">
        <v>3</v>
      </c>
      <c r="D101" s="307" t="s">
        <v>4</v>
      </c>
      <c r="E101" s="307" t="s">
        <v>5</v>
      </c>
      <c r="F101" s="307" t="s">
        <v>6</v>
      </c>
      <c r="G101" s="307" t="s">
        <v>170</v>
      </c>
      <c r="H101" s="307" t="s">
        <v>169</v>
      </c>
    </row>
    <row r="102" spans="1:9" s="12" customFormat="1">
      <c r="A102" s="9" t="str">
        <f t="shared" ref="A102:A126" si="46">A74</f>
        <v>Onion</v>
      </c>
      <c r="B102" s="9">
        <f t="shared" ref="B102:B110" si="47">D14*$B$100</f>
        <v>0</v>
      </c>
      <c r="C102" s="304">
        <f t="shared" ref="C102:H117" si="48">(B102/B$100)*C$100</f>
        <v>0</v>
      </c>
      <c r="D102" s="304">
        <f t="shared" si="48"/>
        <v>0</v>
      </c>
      <c r="E102" s="304">
        <f t="shared" si="48"/>
        <v>0</v>
      </c>
      <c r="F102" s="304">
        <f t="shared" si="48"/>
        <v>0</v>
      </c>
      <c r="G102" s="304">
        <f t="shared" si="48"/>
        <v>0</v>
      </c>
      <c r="H102" s="304">
        <f t="shared" si="48"/>
        <v>0</v>
      </c>
    </row>
    <row r="103" spans="1:9">
      <c r="A103" s="9" t="str">
        <f t="shared" si="46"/>
        <v>Tomato</v>
      </c>
      <c r="B103" s="9">
        <f t="shared" si="47"/>
        <v>0</v>
      </c>
      <c r="C103" s="304">
        <f t="shared" si="48"/>
        <v>0</v>
      </c>
      <c r="D103" s="304">
        <f>(C103/C100)*D100</f>
        <v>0</v>
      </c>
      <c r="E103" s="304">
        <f t="shared" ref="E103:G103" si="49">(D103/D100)*E100</f>
        <v>0</v>
      </c>
      <c r="F103" s="304">
        <f t="shared" si="49"/>
        <v>0</v>
      </c>
      <c r="G103" s="304">
        <f t="shared" si="49"/>
        <v>0</v>
      </c>
      <c r="H103" s="304">
        <f>(G103/G100)*H100</f>
        <v>0</v>
      </c>
    </row>
    <row r="104" spans="1:9">
      <c r="A104" s="9" t="str">
        <f t="shared" si="46"/>
        <v>Okra</v>
      </c>
      <c r="B104" s="9">
        <f t="shared" si="47"/>
        <v>0</v>
      </c>
      <c r="C104" s="304">
        <f t="shared" si="48"/>
        <v>0</v>
      </c>
      <c r="D104" s="304">
        <f t="shared" si="48"/>
        <v>0</v>
      </c>
      <c r="E104" s="304">
        <f t="shared" si="48"/>
        <v>0</v>
      </c>
      <c r="F104" s="304">
        <f t="shared" si="48"/>
        <v>0</v>
      </c>
      <c r="G104" s="304">
        <f t="shared" si="48"/>
        <v>0</v>
      </c>
      <c r="H104" s="304">
        <f t="shared" si="48"/>
        <v>0</v>
      </c>
    </row>
    <row r="105" spans="1:9">
      <c r="A105" s="9" t="str">
        <f t="shared" si="46"/>
        <v>Chilli</v>
      </c>
      <c r="B105" s="9">
        <f t="shared" si="47"/>
        <v>0</v>
      </c>
      <c r="C105" s="304">
        <f t="shared" si="48"/>
        <v>0</v>
      </c>
      <c r="D105" s="304">
        <f t="shared" si="48"/>
        <v>0</v>
      </c>
      <c r="E105" s="304">
        <f t="shared" si="48"/>
        <v>0</v>
      </c>
      <c r="F105" s="304">
        <f t="shared" si="48"/>
        <v>0</v>
      </c>
      <c r="G105" s="304">
        <f t="shared" si="48"/>
        <v>0</v>
      </c>
      <c r="H105" s="304">
        <f t="shared" si="48"/>
        <v>0</v>
      </c>
    </row>
    <row r="106" spans="1:9">
      <c r="A106" s="9" t="str">
        <f t="shared" si="46"/>
        <v>Potato</v>
      </c>
      <c r="B106" s="379">
        <f t="shared" si="47"/>
        <v>0</v>
      </c>
      <c r="C106" s="304">
        <f t="shared" si="48"/>
        <v>0</v>
      </c>
      <c r="D106" s="304">
        <f t="shared" si="48"/>
        <v>0</v>
      </c>
      <c r="E106" s="304">
        <f t="shared" si="48"/>
        <v>0</v>
      </c>
      <c r="F106" s="304">
        <f t="shared" si="48"/>
        <v>0</v>
      </c>
      <c r="G106" s="304">
        <f t="shared" si="48"/>
        <v>0</v>
      </c>
      <c r="H106" s="304">
        <f t="shared" si="48"/>
        <v>0</v>
      </c>
    </row>
    <row r="107" spans="1:9">
      <c r="A107" s="9">
        <f t="shared" si="46"/>
        <v>0</v>
      </c>
      <c r="B107" s="9">
        <f t="shared" si="47"/>
        <v>0</v>
      </c>
      <c r="C107" s="304">
        <f t="shared" si="48"/>
        <v>0</v>
      </c>
      <c r="D107" s="304">
        <f t="shared" si="48"/>
        <v>0</v>
      </c>
      <c r="E107" s="304">
        <f t="shared" si="48"/>
        <v>0</v>
      </c>
      <c r="F107" s="304">
        <f t="shared" si="48"/>
        <v>0</v>
      </c>
      <c r="G107" s="304">
        <f t="shared" si="48"/>
        <v>0</v>
      </c>
      <c r="H107" s="304">
        <f t="shared" si="48"/>
        <v>0</v>
      </c>
    </row>
    <row r="108" spans="1:9">
      <c r="A108" s="9">
        <f t="shared" si="46"/>
        <v>0</v>
      </c>
      <c r="B108" s="9">
        <f t="shared" si="47"/>
        <v>0</v>
      </c>
      <c r="C108" s="304">
        <f t="shared" si="48"/>
        <v>0</v>
      </c>
      <c r="D108" s="304">
        <f t="shared" si="48"/>
        <v>0</v>
      </c>
      <c r="E108" s="304">
        <f t="shared" si="48"/>
        <v>0</v>
      </c>
      <c r="F108" s="304">
        <f t="shared" si="48"/>
        <v>0</v>
      </c>
      <c r="G108" s="304">
        <f t="shared" si="48"/>
        <v>0</v>
      </c>
      <c r="H108" s="304">
        <f t="shared" si="48"/>
        <v>0</v>
      </c>
    </row>
    <row r="109" spans="1:9">
      <c r="A109" s="9">
        <f t="shared" si="46"/>
        <v>0</v>
      </c>
      <c r="B109" s="9">
        <f t="shared" si="47"/>
        <v>0</v>
      </c>
      <c r="C109" s="304">
        <f t="shared" si="48"/>
        <v>0</v>
      </c>
      <c r="D109" s="304">
        <f t="shared" si="48"/>
        <v>0</v>
      </c>
      <c r="E109" s="304">
        <f t="shared" si="48"/>
        <v>0</v>
      </c>
      <c r="F109" s="304">
        <f t="shared" si="48"/>
        <v>0</v>
      </c>
      <c r="G109" s="304">
        <f t="shared" si="48"/>
        <v>0</v>
      </c>
      <c r="H109" s="304">
        <f t="shared" si="48"/>
        <v>0</v>
      </c>
    </row>
    <row r="110" spans="1:9">
      <c r="A110" s="9">
        <f t="shared" si="46"/>
        <v>0</v>
      </c>
      <c r="B110" s="9">
        <f t="shared" si="47"/>
        <v>0</v>
      </c>
      <c r="C110" s="304">
        <f t="shared" si="48"/>
        <v>0</v>
      </c>
      <c r="D110" s="304">
        <f t="shared" si="48"/>
        <v>0</v>
      </c>
      <c r="E110" s="304">
        <f t="shared" si="48"/>
        <v>0</v>
      </c>
      <c r="F110" s="304">
        <f t="shared" si="48"/>
        <v>0</v>
      </c>
      <c r="G110" s="304">
        <f t="shared" si="48"/>
        <v>0</v>
      </c>
      <c r="H110" s="304">
        <f t="shared" si="48"/>
        <v>0</v>
      </c>
    </row>
    <row r="111" spans="1:9">
      <c r="A111" s="9" t="str">
        <f t="shared" si="46"/>
        <v>Onion</v>
      </c>
      <c r="B111" s="9">
        <f t="shared" ref="B111:B118" si="50">D24*$B$100</f>
        <v>0</v>
      </c>
      <c r="C111" s="304">
        <f t="shared" si="48"/>
        <v>0</v>
      </c>
      <c r="D111" s="304">
        <f t="shared" si="48"/>
        <v>0</v>
      </c>
      <c r="E111" s="304">
        <f t="shared" si="48"/>
        <v>0</v>
      </c>
      <c r="F111" s="304">
        <f t="shared" si="48"/>
        <v>0</v>
      </c>
      <c r="G111" s="304">
        <f t="shared" si="48"/>
        <v>0</v>
      </c>
      <c r="H111" s="304">
        <f t="shared" si="48"/>
        <v>0</v>
      </c>
    </row>
    <row r="112" spans="1:9">
      <c r="A112" s="9" t="str">
        <f t="shared" si="46"/>
        <v>Tomato</v>
      </c>
      <c r="B112" s="9">
        <f t="shared" si="50"/>
        <v>0</v>
      </c>
      <c r="C112" s="304">
        <f t="shared" si="48"/>
        <v>0</v>
      </c>
      <c r="D112" s="304">
        <f t="shared" si="48"/>
        <v>0</v>
      </c>
      <c r="E112" s="304">
        <f t="shared" si="48"/>
        <v>0</v>
      </c>
      <c r="F112" s="304">
        <f t="shared" si="48"/>
        <v>0</v>
      </c>
      <c r="G112" s="304">
        <f t="shared" si="48"/>
        <v>0</v>
      </c>
      <c r="H112" s="304">
        <f t="shared" si="48"/>
        <v>0</v>
      </c>
    </row>
    <row r="113" spans="1:9">
      <c r="A113" s="9" t="str">
        <f t="shared" si="46"/>
        <v>Okra</v>
      </c>
      <c r="B113" s="9">
        <f t="shared" si="50"/>
        <v>0</v>
      </c>
      <c r="C113" s="304">
        <f t="shared" si="48"/>
        <v>0</v>
      </c>
      <c r="D113" s="304">
        <f t="shared" si="48"/>
        <v>0</v>
      </c>
      <c r="E113" s="304">
        <f t="shared" si="48"/>
        <v>0</v>
      </c>
      <c r="F113" s="304">
        <f t="shared" si="48"/>
        <v>0</v>
      </c>
      <c r="G113" s="304">
        <f t="shared" si="48"/>
        <v>0</v>
      </c>
      <c r="H113" s="304">
        <f t="shared" si="48"/>
        <v>0</v>
      </c>
    </row>
    <row r="114" spans="1:9">
      <c r="A114" s="9" t="str">
        <f t="shared" si="46"/>
        <v>Chilli</v>
      </c>
      <c r="B114" s="9">
        <f t="shared" si="50"/>
        <v>0</v>
      </c>
      <c r="C114" s="304">
        <f t="shared" si="48"/>
        <v>0</v>
      </c>
      <c r="D114" s="304">
        <f t="shared" si="48"/>
        <v>0</v>
      </c>
      <c r="E114" s="304">
        <f t="shared" si="48"/>
        <v>0</v>
      </c>
      <c r="F114" s="304">
        <f t="shared" si="48"/>
        <v>0</v>
      </c>
      <c r="G114" s="304">
        <f t="shared" si="48"/>
        <v>0</v>
      </c>
      <c r="H114" s="304">
        <f t="shared" si="48"/>
        <v>0</v>
      </c>
    </row>
    <row r="115" spans="1:9">
      <c r="A115" s="9" t="str">
        <f t="shared" si="46"/>
        <v>Brinjal</v>
      </c>
      <c r="B115" s="9">
        <f t="shared" si="50"/>
        <v>0</v>
      </c>
      <c r="C115" s="304">
        <f t="shared" si="48"/>
        <v>0</v>
      </c>
      <c r="D115" s="304">
        <f t="shared" si="48"/>
        <v>0</v>
      </c>
      <c r="E115" s="304">
        <f t="shared" si="48"/>
        <v>0</v>
      </c>
      <c r="F115" s="304">
        <f t="shared" si="48"/>
        <v>0</v>
      </c>
      <c r="G115" s="304">
        <f t="shared" si="48"/>
        <v>0</v>
      </c>
      <c r="H115" s="304">
        <f t="shared" si="48"/>
        <v>0</v>
      </c>
    </row>
    <row r="116" spans="1:9">
      <c r="A116" s="9">
        <f t="shared" si="46"/>
        <v>0</v>
      </c>
      <c r="B116" s="9">
        <f t="shared" si="50"/>
        <v>0</v>
      </c>
      <c r="C116" s="304">
        <f t="shared" si="48"/>
        <v>0</v>
      </c>
      <c r="D116" s="304">
        <f t="shared" si="48"/>
        <v>0</v>
      </c>
      <c r="E116" s="304">
        <f t="shared" si="48"/>
        <v>0</v>
      </c>
      <c r="F116" s="304">
        <f t="shared" si="48"/>
        <v>0</v>
      </c>
      <c r="G116" s="304">
        <f t="shared" si="48"/>
        <v>0</v>
      </c>
      <c r="H116" s="304">
        <f t="shared" si="48"/>
        <v>0</v>
      </c>
    </row>
    <row r="117" spans="1:9">
      <c r="A117" s="9">
        <f t="shared" si="46"/>
        <v>0</v>
      </c>
      <c r="B117" s="9">
        <f t="shared" si="50"/>
        <v>0</v>
      </c>
      <c r="C117" s="304">
        <f t="shared" si="48"/>
        <v>0</v>
      </c>
      <c r="D117" s="304">
        <f t="shared" si="48"/>
        <v>0</v>
      </c>
      <c r="E117" s="304">
        <f t="shared" si="48"/>
        <v>0</v>
      </c>
      <c r="F117" s="304">
        <f t="shared" si="48"/>
        <v>0</v>
      </c>
      <c r="G117" s="304">
        <f t="shared" si="48"/>
        <v>0</v>
      </c>
      <c r="H117" s="304">
        <f t="shared" si="48"/>
        <v>0</v>
      </c>
    </row>
    <row r="118" spans="1:9">
      <c r="A118" s="9">
        <f t="shared" si="46"/>
        <v>0</v>
      </c>
      <c r="B118" s="9">
        <f t="shared" si="50"/>
        <v>0</v>
      </c>
      <c r="C118" s="304">
        <f t="shared" ref="C118:H126" si="51">(B118/B$100)*C$100</f>
        <v>0</v>
      </c>
      <c r="D118" s="304">
        <f t="shared" si="51"/>
        <v>0</v>
      </c>
      <c r="E118" s="304">
        <f t="shared" si="51"/>
        <v>0</v>
      </c>
      <c r="F118" s="304">
        <f t="shared" si="51"/>
        <v>0</v>
      </c>
      <c r="G118" s="304">
        <f t="shared" si="51"/>
        <v>0</v>
      </c>
      <c r="H118" s="304">
        <f t="shared" si="51"/>
        <v>0</v>
      </c>
    </row>
    <row r="119" spans="1:9">
      <c r="A119" s="9">
        <f t="shared" si="46"/>
        <v>0</v>
      </c>
      <c r="B119" s="9">
        <f t="shared" ref="B119:B126" si="52">D33*$B$100</f>
        <v>0</v>
      </c>
      <c r="C119" s="304">
        <f t="shared" si="51"/>
        <v>0</v>
      </c>
      <c r="D119" s="304">
        <f t="shared" si="51"/>
        <v>0</v>
      </c>
      <c r="E119" s="304">
        <f t="shared" si="51"/>
        <v>0</v>
      </c>
      <c r="F119" s="304">
        <f t="shared" si="51"/>
        <v>0</v>
      </c>
      <c r="G119" s="304">
        <f t="shared" si="51"/>
        <v>0</v>
      </c>
      <c r="H119" s="304">
        <f t="shared" si="51"/>
        <v>0</v>
      </c>
    </row>
    <row r="120" spans="1:9">
      <c r="A120" s="9">
        <f t="shared" si="46"/>
        <v>0</v>
      </c>
      <c r="B120" s="9">
        <f t="shared" si="52"/>
        <v>0</v>
      </c>
      <c r="C120" s="304">
        <f t="shared" si="51"/>
        <v>0</v>
      </c>
      <c r="D120" s="304">
        <f t="shared" ref="D120:D122" si="53">(C120/C$100)*D$100</f>
        <v>0</v>
      </c>
      <c r="E120" s="304">
        <f t="shared" ref="E120:E122" si="54">(D120/D$100)*E$100</f>
        <v>0</v>
      </c>
      <c r="F120" s="304">
        <f t="shared" ref="F120:F122" si="55">(E120/E$100)*F$100</f>
        <v>0</v>
      </c>
      <c r="G120" s="304">
        <f t="shared" ref="G120:G122" si="56">(F120/F$100)*G$100</f>
        <v>0</v>
      </c>
      <c r="H120" s="304">
        <f t="shared" si="51"/>
        <v>0</v>
      </c>
    </row>
    <row r="121" spans="1:9">
      <c r="A121" s="9">
        <f t="shared" si="46"/>
        <v>0</v>
      </c>
      <c r="B121" s="9">
        <f t="shared" si="52"/>
        <v>0</v>
      </c>
      <c r="C121" s="304">
        <f t="shared" si="51"/>
        <v>0</v>
      </c>
      <c r="D121" s="304">
        <f t="shared" si="53"/>
        <v>0</v>
      </c>
      <c r="E121" s="304">
        <f t="shared" si="54"/>
        <v>0</v>
      </c>
      <c r="F121" s="304">
        <f t="shared" si="55"/>
        <v>0</v>
      </c>
      <c r="G121" s="304">
        <f t="shared" si="56"/>
        <v>0</v>
      </c>
      <c r="H121" s="304">
        <f t="shared" si="51"/>
        <v>0</v>
      </c>
    </row>
    <row r="122" spans="1:9">
      <c r="A122" s="9">
        <f t="shared" si="46"/>
        <v>0</v>
      </c>
      <c r="B122" s="9">
        <f t="shared" si="52"/>
        <v>0</v>
      </c>
      <c r="C122" s="304">
        <f t="shared" si="51"/>
        <v>0</v>
      </c>
      <c r="D122" s="304">
        <f t="shared" si="53"/>
        <v>0</v>
      </c>
      <c r="E122" s="304">
        <f t="shared" si="54"/>
        <v>0</v>
      </c>
      <c r="F122" s="304">
        <f t="shared" si="55"/>
        <v>0</v>
      </c>
      <c r="G122" s="304">
        <f t="shared" si="56"/>
        <v>0</v>
      </c>
      <c r="H122" s="304">
        <f t="shared" si="51"/>
        <v>0</v>
      </c>
    </row>
    <row r="123" spans="1:9">
      <c r="A123" s="9" t="str">
        <f t="shared" si="46"/>
        <v>Pomegranate</v>
      </c>
      <c r="B123" s="9">
        <f t="shared" si="52"/>
        <v>0</v>
      </c>
      <c r="C123" s="304">
        <f t="shared" si="51"/>
        <v>0</v>
      </c>
      <c r="D123" s="304">
        <f t="shared" si="51"/>
        <v>0</v>
      </c>
      <c r="E123" s="304">
        <f t="shared" si="51"/>
        <v>0</v>
      </c>
      <c r="F123" s="304">
        <f t="shared" si="51"/>
        <v>0</v>
      </c>
      <c r="G123" s="304">
        <f t="shared" si="51"/>
        <v>0</v>
      </c>
      <c r="H123" s="304">
        <f t="shared" si="51"/>
        <v>0</v>
      </c>
    </row>
    <row r="124" spans="1:9">
      <c r="A124" s="9" t="str">
        <f t="shared" si="46"/>
        <v>Custard Apple</v>
      </c>
      <c r="B124" s="9">
        <f t="shared" si="52"/>
        <v>0</v>
      </c>
      <c r="C124" s="304">
        <f t="shared" si="51"/>
        <v>0</v>
      </c>
      <c r="D124" s="304">
        <f t="shared" ref="D124" si="57">(C124/C$100)*D$100</f>
        <v>0</v>
      </c>
      <c r="E124" s="304">
        <f t="shared" ref="E124" si="58">(D124/D$100)*E$100</f>
        <v>0</v>
      </c>
      <c r="F124" s="304">
        <f t="shared" ref="F124" si="59">(E124/E$100)*F$100</f>
        <v>0</v>
      </c>
      <c r="G124" s="304">
        <f t="shared" ref="G124" si="60">(F124/F$100)*G$100</f>
        <v>0</v>
      </c>
      <c r="H124" s="304">
        <f t="shared" si="51"/>
        <v>0</v>
      </c>
    </row>
    <row r="125" spans="1:9">
      <c r="A125" s="9" t="str">
        <f t="shared" si="46"/>
        <v>Guava</v>
      </c>
      <c r="B125" s="9">
        <f t="shared" si="52"/>
        <v>0</v>
      </c>
      <c r="C125" s="304">
        <f t="shared" si="51"/>
        <v>0</v>
      </c>
      <c r="D125" s="304">
        <f t="shared" si="51"/>
        <v>0</v>
      </c>
      <c r="E125" s="304">
        <f t="shared" si="51"/>
        <v>0</v>
      </c>
      <c r="F125" s="304">
        <f t="shared" si="51"/>
        <v>0</v>
      </c>
      <c r="G125" s="304">
        <f t="shared" si="51"/>
        <v>0</v>
      </c>
      <c r="H125" s="304">
        <f t="shared" si="51"/>
        <v>0</v>
      </c>
    </row>
    <row r="126" spans="1:9">
      <c r="A126" s="9" t="str">
        <f t="shared" si="46"/>
        <v>Citrus</v>
      </c>
      <c r="B126" s="9">
        <f t="shared" si="52"/>
        <v>0</v>
      </c>
      <c r="C126" s="304">
        <f t="shared" si="51"/>
        <v>0</v>
      </c>
      <c r="D126" s="304">
        <f t="shared" si="51"/>
        <v>0</v>
      </c>
      <c r="E126" s="304">
        <f t="shared" si="51"/>
        <v>0</v>
      </c>
      <c r="F126" s="304">
        <f t="shared" si="51"/>
        <v>0</v>
      </c>
      <c r="G126" s="304">
        <f t="shared" si="51"/>
        <v>0</v>
      </c>
      <c r="H126" s="304">
        <f t="shared" si="51"/>
        <v>0</v>
      </c>
    </row>
    <row r="128" spans="1:9">
      <c r="C128" s="3"/>
      <c r="D128" s="5"/>
      <c r="E128" s="5"/>
      <c r="F128" s="5"/>
      <c r="G128" s="5"/>
      <c r="H128" s="5"/>
      <c r="I128" s="5"/>
    </row>
    <row r="129" spans="1:9">
      <c r="A129" t="s">
        <v>548</v>
      </c>
      <c r="C129" s="314"/>
      <c r="D129" s="314"/>
      <c r="E129" s="314"/>
      <c r="F129" s="314"/>
      <c r="G129" s="314"/>
      <c r="H129" s="314"/>
      <c r="I129" s="314"/>
    </row>
    <row r="130" spans="1:9">
      <c r="A130">
        <v>1</v>
      </c>
      <c r="B130" t="s">
        <v>549</v>
      </c>
    </row>
    <row r="131" spans="1:9">
      <c r="A131">
        <v>2</v>
      </c>
      <c r="B131" t="s">
        <v>550</v>
      </c>
    </row>
    <row r="132" spans="1:9">
      <c r="A132">
        <v>3</v>
      </c>
      <c r="B132" t="s">
        <v>551</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topLeftCell="A286" zoomScale="115" zoomScaleNormal="115" zoomScaleSheetLayoutView="80" workbookViewId="0">
      <selection activeCell="C282" sqref="C282"/>
    </sheetView>
  </sheetViews>
  <sheetFormatPr defaultRowHeight="14.4"/>
  <cols>
    <col min="1" max="1" width="42.44140625" bestFit="1" customWidth="1"/>
    <col min="2" max="2" width="23.44140625" customWidth="1"/>
    <col min="3" max="3" width="11.88671875" customWidth="1"/>
    <col min="4" max="5" width="15.88671875" bestFit="1" customWidth="1"/>
    <col min="6" max="6" width="18.109375" bestFit="1" customWidth="1"/>
    <col min="7" max="10" width="15.88671875" bestFit="1" customWidth="1"/>
    <col min="11" max="11" width="10.5546875" bestFit="1" customWidth="1"/>
    <col min="13" max="13" width="22.88671875" bestFit="1" customWidth="1"/>
    <col min="14" max="14" width="12.88671875" bestFit="1" customWidth="1"/>
  </cols>
  <sheetData>
    <row r="2" spans="1:8" ht="17.399999999999999">
      <c r="A2" s="428" t="s">
        <v>586</v>
      </c>
      <c r="B2" s="428"/>
      <c r="C2" s="428"/>
      <c r="D2" s="428"/>
      <c r="E2" s="428"/>
      <c r="F2" s="428"/>
      <c r="G2" s="428"/>
      <c r="H2" s="428"/>
    </row>
    <row r="3" spans="1:8" ht="17.399999999999999">
      <c r="A3" s="428" t="s">
        <v>587</v>
      </c>
      <c r="B3" s="428"/>
      <c r="C3" s="428"/>
      <c r="D3" s="428"/>
      <c r="E3" s="428"/>
      <c r="F3" s="428"/>
      <c r="G3" s="428"/>
      <c r="H3" s="428"/>
    </row>
    <row r="4" spans="1:8">
      <c r="B4" s="92"/>
      <c r="C4" s="92"/>
      <c r="D4" s="92"/>
      <c r="E4" s="92"/>
      <c r="F4" s="429" t="s">
        <v>477</v>
      </c>
      <c r="G4" s="429"/>
      <c r="H4" s="429"/>
    </row>
    <row r="5" spans="1:8">
      <c r="A5" s="92" t="s">
        <v>162</v>
      </c>
      <c r="B5" s="247">
        <v>10</v>
      </c>
      <c r="C5" s="92" t="s">
        <v>725</v>
      </c>
      <c r="D5" s="92"/>
      <c r="E5" s="92"/>
      <c r="F5" s="289" t="s">
        <v>478</v>
      </c>
      <c r="G5" s="289" t="s">
        <v>479</v>
      </c>
      <c r="H5" s="92"/>
    </row>
    <row r="6" spans="1:8">
      <c r="A6" s="92" t="s">
        <v>163</v>
      </c>
      <c r="B6" s="279">
        <v>5</v>
      </c>
      <c r="C6" s="92"/>
      <c r="D6" s="92"/>
      <c r="E6" s="92"/>
      <c r="F6" s="9" t="s">
        <v>475</v>
      </c>
      <c r="G6" s="322">
        <v>0.02</v>
      </c>
      <c r="H6" s="92"/>
    </row>
    <row r="7" spans="1:8">
      <c r="A7" s="92"/>
      <c r="B7" s="92"/>
      <c r="C7" s="92"/>
      <c r="D7" s="92"/>
      <c r="E7" s="92"/>
      <c r="F7" s="9" t="s">
        <v>476</v>
      </c>
      <c r="G7" s="322">
        <v>0.05</v>
      </c>
      <c r="H7" s="92"/>
    </row>
    <row r="8" spans="1:8">
      <c r="A8" s="92" t="s">
        <v>524</v>
      </c>
      <c r="B8" s="92">
        <v>150</v>
      </c>
      <c r="C8" s="92"/>
      <c r="D8" s="92"/>
      <c r="E8" s="92"/>
      <c r="F8" s="9"/>
      <c r="G8" s="322"/>
      <c r="H8" s="92"/>
    </row>
    <row r="9" spans="1:8">
      <c r="A9" s="146" t="s">
        <v>0</v>
      </c>
      <c r="B9" s="118" t="s">
        <v>2</v>
      </c>
      <c r="C9" s="118" t="s">
        <v>3</v>
      </c>
      <c r="D9" s="118" t="s">
        <v>4</v>
      </c>
      <c r="E9" s="118" t="s">
        <v>5</v>
      </c>
      <c r="F9" s="118" t="s">
        <v>6</v>
      </c>
      <c r="G9" s="118" t="s">
        <v>170</v>
      </c>
      <c r="H9" s="118" t="s">
        <v>169</v>
      </c>
    </row>
    <row r="10" spans="1:8">
      <c r="A10" s="93" t="s">
        <v>737</v>
      </c>
      <c r="B10" s="298">
        <f>ROUNDUP(B33/($B$5*$B$6),0)</f>
        <v>219</v>
      </c>
      <c r="C10" s="298">
        <f>ROUNDUP(C33/($B$5*$B$6),0)</f>
        <v>247</v>
      </c>
      <c r="D10" s="298">
        <f t="shared" ref="D10:H10" si="0">ROUNDUP(D33/($B$5*$B$6),0)</f>
        <v>274</v>
      </c>
      <c r="E10" s="298">
        <f t="shared" si="0"/>
        <v>302</v>
      </c>
      <c r="F10" s="298">
        <f t="shared" si="0"/>
        <v>329</v>
      </c>
      <c r="G10" s="298">
        <f t="shared" si="0"/>
        <v>356</v>
      </c>
      <c r="H10" s="298">
        <f t="shared" si="0"/>
        <v>384</v>
      </c>
    </row>
    <row r="11" spans="1:8">
      <c r="A11" s="198" t="str">
        <f>'10.Grain Production details'!A42</f>
        <v>Soybean</v>
      </c>
      <c r="B11" s="198">
        <f>'10.Grain Production details'!B42</f>
        <v>8363.52</v>
      </c>
      <c r="C11" s="198">
        <f>'10.Grain Production details'!C42</f>
        <v>9408.9599999999991</v>
      </c>
      <c r="D11" s="198">
        <f>'10.Grain Production details'!D42</f>
        <v>10454.4</v>
      </c>
      <c r="E11" s="198">
        <f>'10.Grain Production details'!E42</f>
        <v>11499.84</v>
      </c>
      <c r="F11" s="198">
        <f>'10.Grain Production details'!F42</f>
        <v>12545.28</v>
      </c>
      <c r="G11" s="198">
        <f>'10.Grain Production details'!G42</f>
        <v>13590.720000000003</v>
      </c>
      <c r="H11" s="198">
        <f>'10.Grain Production details'!H42</f>
        <v>14636.160000000003</v>
      </c>
    </row>
    <row r="12" spans="1:8">
      <c r="A12" s="198" t="str">
        <f>'10.Grain Production details'!A43</f>
        <v>Red Gram/Tur</v>
      </c>
      <c r="B12" s="198">
        <f>'10.Grain Production details'!B43</f>
        <v>601.91999999999996</v>
      </c>
      <c r="C12" s="198">
        <f>'10.Grain Production details'!C43</f>
        <v>677.15999999999985</v>
      </c>
      <c r="D12" s="198">
        <f>'10.Grain Production details'!D43</f>
        <v>752.39999999999986</v>
      </c>
      <c r="E12" s="198">
        <f>'10.Grain Production details'!E43</f>
        <v>827.63999999999987</v>
      </c>
      <c r="F12" s="198">
        <f>'10.Grain Production details'!F43</f>
        <v>902.88</v>
      </c>
      <c r="G12" s="198">
        <f>'10.Grain Production details'!G43</f>
        <v>978.12</v>
      </c>
      <c r="H12" s="198">
        <f>'10.Grain Production details'!H43</f>
        <v>1053.3600000000001</v>
      </c>
    </row>
    <row r="13" spans="1:8">
      <c r="A13" s="198" t="str">
        <f>'10.Grain Production details'!A44</f>
        <v>Paddy/Rice</v>
      </c>
      <c r="B13" s="198">
        <f>'10.Grain Production details'!B44</f>
        <v>0</v>
      </c>
      <c r="C13" s="198">
        <f>'10.Grain Production details'!C44</f>
        <v>0</v>
      </c>
      <c r="D13" s="198">
        <f>'10.Grain Production details'!D44</f>
        <v>0</v>
      </c>
      <c r="E13" s="198">
        <f>'10.Grain Production details'!E44</f>
        <v>0</v>
      </c>
      <c r="F13" s="198">
        <f>'10.Grain Production details'!F44</f>
        <v>0</v>
      </c>
      <c r="G13" s="198">
        <f>'10.Grain Production details'!G44</f>
        <v>0</v>
      </c>
      <c r="H13" s="198">
        <f>'10.Grain Production details'!H44</f>
        <v>0</v>
      </c>
    </row>
    <row r="14" spans="1:8">
      <c r="A14" s="198" t="str">
        <f>'10.Grain Production details'!A45</f>
        <v>Green Gram/ Moong</v>
      </c>
      <c r="B14" s="198">
        <f>'10.Grain Production details'!B45</f>
        <v>26.400000000000002</v>
      </c>
      <c r="C14" s="198">
        <f>'10.Grain Production details'!C45</f>
        <v>29.7</v>
      </c>
      <c r="D14" s="198">
        <f>'10.Grain Production details'!D45</f>
        <v>33</v>
      </c>
      <c r="E14" s="198">
        <f>'10.Grain Production details'!E45</f>
        <v>36.300000000000004</v>
      </c>
      <c r="F14" s="198">
        <f>'10.Grain Production details'!F45</f>
        <v>39.600000000000009</v>
      </c>
      <c r="G14" s="198">
        <f>'10.Grain Production details'!G45</f>
        <v>42.900000000000006</v>
      </c>
      <c r="H14" s="198">
        <f>'10.Grain Production details'!H45</f>
        <v>46.20000000000001</v>
      </c>
    </row>
    <row r="15" spans="1:8">
      <c r="A15" s="198" t="str">
        <f>'10.Grain Production details'!A46</f>
        <v>Maize</v>
      </c>
      <c r="B15" s="198">
        <f>'10.Grain Production details'!B46</f>
        <v>0</v>
      </c>
      <c r="C15" s="198">
        <f>'10.Grain Production details'!C46</f>
        <v>0</v>
      </c>
      <c r="D15" s="198">
        <f>'10.Grain Production details'!D46</f>
        <v>0</v>
      </c>
      <c r="E15" s="198">
        <f>'10.Grain Production details'!E46</f>
        <v>0</v>
      </c>
      <c r="F15" s="198">
        <f>'10.Grain Production details'!F46</f>
        <v>0</v>
      </c>
      <c r="G15" s="198">
        <f>'10.Grain Production details'!G46</f>
        <v>0</v>
      </c>
      <c r="H15" s="198">
        <f>'10.Grain Production details'!H46</f>
        <v>0</v>
      </c>
    </row>
    <row r="16" spans="1:8">
      <c r="A16" s="198" t="str">
        <f>'10.Grain Production details'!A47</f>
        <v>Black Gram/Udid</v>
      </c>
      <c r="B16" s="198">
        <f>'10.Grain Production details'!B47</f>
        <v>0</v>
      </c>
      <c r="C16" s="198">
        <f>'10.Grain Production details'!C47</f>
        <v>0</v>
      </c>
      <c r="D16" s="198">
        <f>'10.Grain Production details'!D47</f>
        <v>0</v>
      </c>
      <c r="E16" s="198">
        <f>'10.Grain Production details'!E47</f>
        <v>0</v>
      </c>
      <c r="F16" s="198">
        <f>'10.Grain Production details'!F47</f>
        <v>0</v>
      </c>
      <c r="G16" s="198">
        <f>'10.Grain Production details'!G47</f>
        <v>0</v>
      </c>
      <c r="H16" s="198">
        <f>'10.Grain Production details'!H47</f>
        <v>0</v>
      </c>
    </row>
    <row r="17" spans="1:12">
      <c r="A17" s="198" t="str">
        <f>'10.Grain Production details'!A48</f>
        <v>Bajra</v>
      </c>
      <c r="B17" s="198">
        <f>'10.Grain Production details'!B48</f>
        <v>0</v>
      </c>
      <c r="C17" s="198">
        <f>'10.Grain Production details'!C48</f>
        <v>0</v>
      </c>
      <c r="D17" s="198">
        <f>'10.Grain Production details'!D48</f>
        <v>0</v>
      </c>
      <c r="E17" s="198">
        <f>'10.Grain Production details'!E48</f>
        <v>0</v>
      </c>
      <c r="F17" s="198">
        <f>'10.Grain Production details'!F48</f>
        <v>0</v>
      </c>
      <c r="G17" s="198">
        <f>'10.Grain Production details'!G48</f>
        <v>0</v>
      </c>
      <c r="H17" s="198">
        <f>'10.Grain Production details'!H48</f>
        <v>0</v>
      </c>
    </row>
    <row r="18" spans="1:12">
      <c r="A18" s="198" t="str">
        <f>'10.Grain Production details'!A49</f>
        <v>Jawar</v>
      </c>
      <c r="B18" s="198">
        <f>'10.Grain Production details'!B49</f>
        <v>15.840000000000002</v>
      </c>
      <c r="C18" s="198">
        <f>'10.Grain Production details'!C49</f>
        <v>17.82</v>
      </c>
      <c r="D18" s="198">
        <f>'10.Grain Production details'!D49</f>
        <v>19.8</v>
      </c>
      <c r="E18" s="198">
        <f>'10.Grain Production details'!E49</f>
        <v>21.78</v>
      </c>
      <c r="F18" s="198">
        <f>'10.Grain Production details'!F49</f>
        <v>23.760000000000005</v>
      </c>
      <c r="G18" s="198">
        <f>'10.Grain Production details'!G49</f>
        <v>25.740000000000006</v>
      </c>
      <c r="H18" s="198">
        <f>'10.Grain Production details'!H49</f>
        <v>27.72000000000001</v>
      </c>
    </row>
    <row r="19" spans="1:12">
      <c r="A19" s="198" t="str">
        <f>'10.Grain Production details'!A50</f>
        <v>Sunflower</v>
      </c>
      <c r="B19" s="198">
        <f>'10.Grain Production details'!B50</f>
        <v>0</v>
      </c>
      <c r="C19" s="198">
        <f>'10.Grain Production details'!C50</f>
        <v>0</v>
      </c>
      <c r="D19" s="198">
        <f>'10.Grain Production details'!D50</f>
        <v>0</v>
      </c>
      <c r="E19" s="198">
        <f>'10.Grain Production details'!E50</f>
        <v>0</v>
      </c>
      <c r="F19" s="198">
        <f>'10.Grain Production details'!F50</f>
        <v>0</v>
      </c>
      <c r="G19" s="198">
        <f>'10.Grain Production details'!G50</f>
        <v>0</v>
      </c>
      <c r="H19" s="198">
        <f>'10.Grain Production details'!H50</f>
        <v>0</v>
      </c>
    </row>
    <row r="20" spans="1:12">
      <c r="A20" s="198" t="str">
        <f>'10.Grain Production details'!A51</f>
        <v>Wheat</v>
      </c>
      <c r="B20" s="198">
        <f>'10.Grain Production details'!B51</f>
        <v>22.809600000000003</v>
      </c>
      <c r="C20" s="198">
        <f>'10.Grain Production details'!C51</f>
        <v>25.660800000000005</v>
      </c>
      <c r="D20" s="198">
        <f>'10.Grain Production details'!D51</f>
        <v>28.512000000000004</v>
      </c>
      <c r="E20" s="198">
        <f>'10.Grain Production details'!E51</f>
        <v>31.363200000000006</v>
      </c>
      <c r="F20" s="198">
        <f>'10.Grain Production details'!F51</f>
        <v>34.214400000000012</v>
      </c>
      <c r="G20" s="198">
        <f>'10.Grain Production details'!G51</f>
        <v>37.065600000000011</v>
      </c>
      <c r="H20" s="198">
        <f>'10.Grain Production details'!H51</f>
        <v>39.916800000000016</v>
      </c>
    </row>
    <row r="21" spans="1:12">
      <c r="A21" s="198" t="str">
        <f>'10.Grain Production details'!A52</f>
        <v>Bengal Gram/Channa</v>
      </c>
      <c r="B21" s="198">
        <f>'10.Grain Production details'!B52</f>
        <v>1824.768</v>
      </c>
      <c r="C21" s="198">
        <f>'10.Grain Production details'!C52</f>
        <v>2052.864</v>
      </c>
      <c r="D21" s="198">
        <f>'10.Grain Production details'!D52</f>
        <v>2280.96</v>
      </c>
      <c r="E21" s="198">
        <f>'10.Grain Production details'!E52</f>
        <v>2509.056</v>
      </c>
      <c r="F21" s="198">
        <f>'10.Grain Production details'!F52</f>
        <v>2737.1520000000005</v>
      </c>
      <c r="G21" s="198">
        <f>'10.Grain Production details'!G52</f>
        <v>2965.2480000000005</v>
      </c>
      <c r="H21" s="198">
        <f>'10.Grain Production details'!H52</f>
        <v>3193.344000000001</v>
      </c>
    </row>
    <row r="22" spans="1:12">
      <c r="A22" s="198" t="str">
        <f>'10.Grain Production details'!A53</f>
        <v>Jawar</v>
      </c>
      <c r="B22" s="198">
        <f>'10.Grain Production details'!B53</f>
        <v>84.268800000000013</v>
      </c>
      <c r="C22" s="198">
        <f>'10.Grain Production details'!C53</f>
        <v>94.80240000000002</v>
      </c>
      <c r="D22" s="198">
        <f>'10.Grain Production details'!D53</f>
        <v>105.33600000000001</v>
      </c>
      <c r="E22" s="198">
        <f>'10.Grain Production details'!E53</f>
        <v>115.86960000000002</v>
      </c>
      <c r="F22" s="198">
        <f>'10.Grain Production details'!F53</f>
        <v>126.40320000000004</v>
      </c>
      <c r="G22" s="198">
        <f>'10.Grain Production details'!G53</f>
        <v>136.93680000000003</v>
      </c>
      <c r="H22" s="198">
        <f>'10.Grain Production details'!H53</f>
        <v>147.47040000000004</v>
      </c>
    </row>
    <row r="23" spans="1:12">
      <c r="A23" s="198" t="str">
        <f>'10.Grain Production details'!A54</f>
        <v>Maize</v>
      </c>
      <c r="B23" s="198">
        <f>'10.Grain Production details'!B54</f>
        <v>0</v>
      </c>
      <c r="C23" s="198">
        <f>'10.Grain Production details'!C54</f>
        <v>0</v>
      </c>
      <c r="D23" s="198">
        <f>'10.Grain Production details'!D54</f>
        <v>0</v>
      </c>
      <c r="E23" s="198">
        <f>'10.Grain Production details'!E54</f>
        <v>0</v>
      </c>
      <c r="F23" s="198">
        <f>'10.Grain Production details'!F54</f>
        <v>0</v>
      </c>
      <c r="G23" s="198">
        <f>'10.Grain Production details'!G54</f>
        <v>0</v>
      </c>
      <c r="H23" s="198">
        <f>'10.Grain Production details'!H54</f>
        <v>0</v>
      </c>
    </row>
    <row r="24" spans="1:12">
      <c r="A24" s="198" t="str">
        <f>'10.Grain Production details'!A55</f>
        <v>Safflower</v>
      </c>
      <c r="B24" s="198">
        <f>'10.Grain Production details'!B55</f>
        <v>9.5039999999999996</v>
      </c>
      <c r="C24" s="198">
        <f>'10.Grain Production details'!C55</f>
        <v>10.692</v>
      </c>
      <c r="D24" s="198">
        <f>'10.Grain Production details'!D55</f>
        <v>11.88</v>
      </c>
      <c r="E24" s="198">
        <f>'10.Grain Production details'!E55</f>
        <v>13.068000000000001</v>
      </c>
      <c r="F24" s="198">
        <f>'10.Grain Production details'!F55</f>
        <v>14.256000000000004</v>
      </c>
      <c r="G24" s="198">
        <f>'10.Grain Production details'!G55</f>
        <v>15.444000000000004</v>
      </c>
      <c r="H24" s="198">
        <f>'10.Grain Production details'!H55</f>
        <v>16.632000000000005</v>
      </c>
    </row>
    <row r="25" spans="1:12">
      <c r="A25" s="198">
        <f>'10.Grain Production details'!A56</f>
        <v>0</v>
      </c>
      <c r="B25" s="198">
        <f>'10.Grain Production details'!B56</f>
        <v>0</v>
      </c>
      <c r="C25" s="198">
        <f>'10.Grain Production details'!C56</f>
        <v>0</v>
      </c>
      <c r="D25" s="198">
        <f>'10.Grain Production details'!D56</f>
        <v>0</v>
      </c>
      <c r="E25" s="198">
        <f>'10.Grain Production details'!E56</f>
        <v>0</v>
      </c>
      <c r="F25" s="198">
        <f>'10.Grain Production details'!F56</f>
        <v>0</v>
      </c>
      <c r="G25" s="198">
        <f>'10.Grain Production details'!G56</f>
        <v>0</v>
      </c>
      <c r="H25" s="198">
        <f>'10.Grain Production details'!H56</f>
        <v>0</v>
      </c>
    </row>
    <row r="26" spans="1:12">
      <c r="A26" s="198">
        <f>'10.Grain Production details'!A57</f>
        <v>0</v>
      </c>
      <c r="B26" s="198">
        <f>'10.Grain Production details'!B57</f>
        <v>0</v>
      </c>
      <c r="C26" s="198">
        <f>'10.Grain Production details'!C57</f>
        <v>0</v>
      </c>
      <c r="D26" s="198">
        <f>'10.Grain Production details'!D57</f>
        <v>0</v>
      </c>
      <c r="E26" s="198">
        <f>'10.Grain Production details'!E57</f>
        <v>0</v>
      </c>
      <c r="F26" s="198">
        <f>'10.Grain Production details'!F57</f>
        <v>0</v>
      </c>
      <c r="G26" s="198">
        <f>'10.Grain Production details'!G57</f>
        <v>0</v>
      </c>
      <c r="H26" s="198">
        <f>'10.Grain Production details'!H57</f>
        <v>0</v>
      </c>
      <c r="J26" t="s">
        <v>738</v>
      </c>
    </row>
    <row r="27" spans="1:12">
      <c r="A27" s="198">
        <f>'10.Grain Production details'!A58</f>
        <v>0</v>
      </c>
      <c r="B27" s="198">
        <f>'10.Grain Production details'!B58</f>
        <v>0</v>
      </c>
      <c r="C27" s="198">
        <f>'10.Grain Production details'!C58</f>
        <v>0</v>
      </c>
      <c r="D27" s="198">
        <f>'10.Grain Production details'!D58</f>
        <v>0</v>
      </c>
      <c r="E27" s="198">
        <f>'10.Grain Production details'!E58</f>
        <v>0</v>
      </c>
      <c r="F27" s="198">
        <f>'10.Grain Production details'!F58</f>
        <v>0</v>
      </c>
      <c r="G27" s="198">
        <f>'10.Grain Production details'!G58</f>
        <v>0</v>
      </c>
      <c r="H27" s="198">
        <f>'10.Grain Production details'!H58</f>
        <v>0</v>
      </c>
      <c r="J27" t="s">
        <v>739</v>
      </c>
      <c r="K27" s="21">
        <f>B11</f>
        <v>8363.52</v>
      </c>
      <c r="L27" s="21">
        <f>K27/100</f>
        <v>83.635199999999998</v>
      </c>
    </row>
    <row r="28" spans="1:12">
      <c r="A28" s="198" t="str">
        <f>'10.Grain Production details'!A59</f>
        <v>Groundnut</v>
      </c>
      <c r="B28" s="198">
        <f>'10.Grain Production details'!B59</f>
        <v>0</v>
      </c>
      <c r="C28" s="198">
        <f>'10.Grain Production details'!C59</f>
        <v>0</v>
      </c>
      <c r="D28" s="198">
        <f>'10.Grain Production details'!D59</f>
        <v>0</v>
      </c>
      <c r="E28" s="198">
        <f>'10.Grain Production details'!E59</f>
        <v>0</v>
      </c>
      <c r="F28" s="198">
        <f>'10.Grain Production details'!F59</f>
        <v>0</v>
      </c>
      <c r="G28" s="198">
        <f>'10.Grain Production details'!G59</f>
        <v>0</v>
      </c>
      <c r="H28" s="198">
        <f>'10.Grain Production details'!H59</f>
        <v>0</v>
      </c>
      <c r="J28" t="s">
        <v>740</v>
      </c>
      <c r="K28" s="21">
        <f>B21</f>
        <v>1824.768</v>
      </c>
      <c r="L28" s="21">
        <f t="shared" ref="L28:L31" si="1">K28/100</f>
        <v>18.247679999999999</v>
      </c>
    </row>
    <row r="29" spans="1:12">
      <c r="A29" s="198">
        <f>'10.Grain Production details'!A60</f>
        <v>0</v>
      </c>
      <c r="B29" s="198">
        <f>'10.Grain Production details'!B60</f>
        <v>0</v>
      </c>
      <c r="C29" s="198">
        <f>'10.Grain Production details'!C60</f>
        <v>0</v>
      </c>
      <c r="D29" s="198">
        <f>'10.Grain Production details'!D60</f>
        <v>0</v>
      </c>
      <c r="E29" s="198">
        <f>'10.Grain Production details'!E60</f>
        <v>0</v>
      </c>
      <c r="F29" s="198">
        <f>'10.Grain Production details'!F60</f>
        <v>0</v>
      </c>
      <c r="G29" s="198">
        <f>'10.Grain Production details'!G60</f>
        <v>0</v>
      </c>
      <c r="H29" s="198">
        <f>'10.Grain Production details'!H60</f>
        <v>0</v>
      </c>
      <c r="J29" t="s">
        <v>741</v>
      </c>
      <c r="K29" s="21">
        <f>B12</f>
        <v>601.91999999999996</v>
      </c>
      <c r="L29" s="21">
        <f t="shared" si="1"/>
        <v>6.0191999999999997</v>
      </c>
    </row>
    <row r="30" spans="1:12">
      <c r="A30" s="198">
        <f>'10.Grain Production details'!A61</f>
        <v>0</v>
      </c>
      <c r="B30" s="198">
        <f>'10.Grain Production details'!B61</f>
        <v>0</v>
      </c>
      <c r="C30" s="198">
        <f>'10.Grain Production details'!C61</f>
        <v>0</v>
      </c>
      <c r="D30" s="198">
        <f>'10.Grain Production details'!D61</f>
        <v>0</v>
      </c>
      <c r="E30" s="198">
        <f>'10.Grain Production details'!E61</f>
        <v>0</v>
      </c>
      <c r="F30" s="198">
        <f>'10.Grain Production details'!F61</f>
        <v>0</v>
      </c>
      <c r="G30" s="198">
        <f>'10.Grain Production details'!G61</f>
        <v>0</v>
      </c>
      <c r="H30" s="198">
        <f>'10.Grain Production details'!H61</f>
        <v>0</v>
      </c>
      <c r="J30" t="s">
        <v>406</v>
      </c>
      <c r="K30">
        <v>1350</v>
      </c>
      <c r="L30" s="21">
        <f t="shared" si="1"/>
        <v>13.5</v>
      </c>
    </row>
    <row r="31" spans="1:12">
      <c r="A31" s="198">
        <f>'10.Grain Production details'!A62</f>
        <v>0</v>
      </c>
      <c r="B31" s="198">
        <f>'10.Grain Production details'!B62</f>
        <v>0</v>
      </c>
      <c r="C31" s="198">
        <f>'10.Grain Production details'!C62</f>
        <v>0</v>
      </c>
      <c r="D31" s="198">
        <f>'10.Grain Production details'!D62</f>
        <v>0</v>
      </c>
      <c r="E31" s="198">
        <f>'10.Grain Production details'!E62</f>
        <v>0</v>
      </c>
      <c r="F31" s="198">
        <f>'10.Grain Production details'!F62</f>
        <v>0</v>
      </c>
      <c r="G31" s="198">
        <f>'10.Grain Production details'!G62</f>
        <v>0</v>
      </c>
      <c r="H31" s="198">
        <f>'10.Grain Production details'!H62</f>
        <v>0</v>
      </c>
      <c r="J31" t="s">
        <v>485</v>
      </c>
      <c r="K31">
        <v>375</v>
      </c>
      <c r="L31" s="21">
        <f t="shared" si="1"/>
        <v>3.75</v>
      </c>
    </row>
    <row r="32" spans="1:12">
      <c r="A32" s="198">
        <f>'10.Grain Production details'!B63</f>
        <v>0</v>
      </c>
      <c r="B32" s="198">
        <f>'10.Grain Production details'!C63</f>
        <v>0</v>
      </c>
      <c r="C32" s="198">
        <f>'10.Grain Production details'!D63</f>
        <v>0</v>
      </c>
      <c r="D32" s="198">
        <f>'10.Grain Production details'!E63</f>
        <v>0</v>
      </c>
      <c r="E32" s="198">
        <f>'10.Grain Production details'!F63</f>
        <v>0</v>
      </c>
      <c r="F32" s="198">
        <f>'10.Grain Production details'!G63</f>
        <v>0</v>
      </c>
      <c r="G32" s="198">
        <f>'10.Grain Production details'!H63</f>
        <v>0</v>
      </c>
      <c r="H32" s="198">
        <f>'10.Grain Production details'!I63</f>
        <v>0</v>
      </c>
    </row>
    <row r="33" spans="1:8">
      <c r="A33" s="95" t="s">
        <v>521</v>
      </c>
      <c r="B33" s="198">
        <f t="shared" ref="B33:H33" si="2">SUM(B11:B32)</f>
        <v>10949.030400000001</v>
      </c>
      <c r="C33" s="198">
        <f t="shared" si="2"/>
        <v>12317.659199999998</v>
      </c>
      <c r="D33" s="198">
        <f t="shared" si="2"/>
        <v>13686.287999999999</v>
      </c>
      <c r="E33" s="198">
        <f t="shared" si="2"/>
        <v>15054.916799999999</v>
      </c>
      <c r="F33" s="198">
        <f t="shared" si="2"/>
        <v>16423.545600000001</v>
      </c>
      <c r="G33" s="198">
        <f t="shared" si="2"/>
        <v>17792.174400000004</v>
      </c>
      <c r="H33" s="198">
        <f t="shared" si="2"/>
        <v>19160.803200000006</v>
      </c>
    </row>
    <row r="34" spans="1:8">
      <c r="A34" s="198" t="str">
        <f>'11.F&amp;V Crop Production details'!A1:H1</f>
        <v>Fruit  &amp; Vegetables Crop Production Details</v>
      </c>
      <c r="B34" s="198"/>
      <c r="C34" s="198"/>
      <c r="D34" s="198"/>
      <c r="E34" s="198"/>
      <c r="F34" s="198"/>
      <c r="G34" s="198"/>
      <c r="H34" s="198"/>
    </row>
    <row r="35" spans="1:8">
      <c r="A35" s="198" t="str">
        <f>'11.F&amp;V Crop Production details'!A46</f>
        <v>Onion</v>
      </c>
      <c r="B35" s="198">
        <f>'11.F&amp;V Crop Production details'!B46</f>
        <v>0</v>
      </c>
      <c r="C35" s="198">
        <f>'11.F&amp;V Crop Production details'!C46</f>
        <v>0</v>
      </c>
      <c r="D35" s="198">
        <f>'11.F&amp;V Crop Production details'!D46</f>
        <v>0</v>
      </c>
      <c r="E35" s="198">
        <f>'11.F&amp;V Crop Production details'!E46</f>
        <v>0</v>
      </c>
      <c r="F35" s="198">
        <f>'11.F&amp;V Crop Production details'!F46</f>
        <v>0</v>
      </c>
      <c r="G35" s="198">
        <f>'11.F&amp;V Crop Production details'!G46</f>
        <v>0</v>
      </c>
      <c r="H35" s="198">
        <f>'11.F&amp;V Crop Production details'!H46</f>
        <v>0</v>
      </c>
    </row>
    <row r="36" spans="1:8">
      <c r="A36" s="198" t="str">
        <f>'11.F&amp;V Crop Production details'!A47</f>
        <v>Tomato</v>
      </c>
      <c r="B36" s="198">
        <f>'11.F&amp;V Crop Production details'!B47</f>
        <v>0</v>
      </c>
      <c r="C36" s="198">
        <f>'11.F&amp;V Crop Production details'!C47</f>
        <v>0</v>
      </c>
      <c r="D36" s="198">
        <f>'11.F&amp;V Crop Production details'!D47</f>
        <v>0</v>
      </c>
      <c r="E36" s="198">
        <f>'11.F&amp;V Crop Production details'!E47</f>
        <v>0</v>
      </c>
      <c r="F36" s="198">
        <f>'11.F&amp;V Crop Production details'!F47</f>
        <v>0</v>
      </c>
      <c r="G36" s="198">
        <f>'11.F&amp;V Crop Production details'!G47</f>
        <v>0</v>
      </c>
      <c r="H36" s="198">
        <f>'11.F&amp;V Crop Production details'!H47</f>
        <v>0</v>
      </c>
    </row>
    <row r="37" spans="1:8">
      <c r="A37" s="198" t="str">
        <f>'11.F&amp;V Crop Production details'!A48</f>
        <v>Okra</v>
      </c>
      <c r="B37" s="198">
        <f>'11.F&amp;V Crop Production details'!B48</f>
        <v>0</v>
      </c>
      <c r="C37" s="198">
        <f>'11.F&amp;V Crop Production details'!C48</f>
        <v>0</v>
      </c>
      <c r="D37" s="198">
        <f>'11.F&amp;V Crop Production details'!D48</f>
        <v>0</v>
      </c>
      <c r="E37" s="198">
        <f>'11.F&amp;V Crop Production details'!E48</f>
        <v>0</v>
      </c>
      <c r="F37" s="198">
        <f>'11.F&amp;V Crop Production details'!F48</f>
        <v>0</v>
      </c>
      <c r="G37" s="198">
        <f>'11.F&amp;V Crop Production details'!G48</f>
        <v>0</v>
      </c>
      <c r="H37" s="198">
        <f>'11.F&amp;V Crop Production details'!H48</f>
        <v>0</v>
      </c>
    </row>
    <row r="38" spans="1:8">
      <c r="A38" s="198" t="str">
        <f>'11.F&amp;V Crop Production details'!A49</f>
        <v>Chilli</v>
      </c>
      <c r="B38" s="198">
        <f>'11.F&amp;V Crop Production details'!B49</f>
        <v>0</v>
      </c>
      <c r="C38" s="198">
        <f>'11.F&amp;V Crop Production details'!C49</f>
        <v>0</v>
      </c>
      <c r="D38" s="198">
        <f>'11.F&amp;V Crop Production details'!D49</f>
        <v>0</v>
      </c>
      <c r="E38" s="198">
        <f>'11.F&amp;V Crop Production details'!E49</f>
        <v>0</v>
      </c>
      <c r="F38" s="198">
        <f>'11.F&amp;V Crop Production details'!F49</f>
        <v>0</v>
      </c>
      <c r="G38" s="198">
        <f>'11.F&amp;V Crop Production details'!G49</f>
        <v>0</v>
      </c>
      <c r="H38" s="198">
        <f>'11.F&amp;V Crop Production details'!H49</f>
        <v>0</v>
      </c>
    </row>
    <row r="39" spans="1:8">
      <c r="A39" s="198" t="str">
        <f>'11.F&amp;V Crop Production details'!A50</f>
        <v>Potato</v>
      </c>
      <c r="B39" s="198">
        <f>'11.F&amp;V Crop Production details'!B50</f>
        <v>0</v>
      </c>
      <c r="C39" s="198">
        <f>'11.F&amp;V Crop Production details'!C50</f>
        <v>0</v>
      </c>
      <c r="D39" s="198">
        <f>'11.F&amp;V Crop Production details'!D50</f>
        <v>0</v>
      </c>
      <c r="E39" s="198">
        <f>'11.F&amp;V Crop Production details'!E50</f>
        <v>0</v>
      </c>
      <c r="F39" s="198">
        <f>'11.F&amp;V Crop Production details'!F50</f>
        <v>0</v>
      </c>
      <c r="G39" s="198">
        <f>'11.F&amp;V Crop Production details'!G50</f>
        <v>0</v>
      </c>
      <c r="H39" s="198">
        <f>'11.F&amp;V Crop Production details'!H50</f>
        <v>0</v>
      </c>
    </row>
    <row r="40" spans="1:8">
      <c r="A40" s="198">
        <f>'11.F&amp;V Crop Production details'!A51</f>
        <v>0</v>
      </c>
      <c r="B40" s="198">
        <f>'11.F&amp;V Crop Production details'!B51</f>
        <v>0</v>
      </c>
      <c r="C40" s="198">
        <f>'11.F&amp;V Crop Production details'!C51</f>
        <v>0</v>
      </c>
      <c r="D40" s="198">
        <f>'11.F&amp;V Crop Production details'!D51</f>
        <v>0</v>
      </c>
      <c r="E40" s="198">
        <f>'11.F&amp;V Crop Production details'!E51</f>
        <v>0</v>
      </c>
      <c r="F40" s="198">
        <f>'11.F&amp;V Crop Production details'!F51</f>
        <v>0</v>
      </c>
      <c r="G40" s="198">
        <f>'11.F&amp;V Crop Production details'!G51</f>
        <v>0</v>
      </c>
      <c r="H40" s="198">
        <f>'11.F&amp;V Crop Production details'!H51</f>
        <v>0</v>
      </c>
    </row>
    <row r="41" spans="1:8">
      <c r="A41" s="198">
        <f>'11.F&amp;V Crop Production details'!A52</f>
        <v>0</v>
      </c>
      <c r="B41" s="198">
        <f>'11.F&amp;V Crop Production details'!B52</f>
        <v>0</v>
      </c>
      <c r="C41" s="198">
        <f>'11.F&amp;V Crop Production details'!C52</f>
        <v>0</v>
      </c>
      <c r="D41" s="198">
        <f>'11.F&amp;V Crop Production details'!D52</f>
        <v>0</v>
      </c>
      <c r="E41" s="198">
        <f>'11.F&amp;V Crop Production details'!E52</f>
        <v>0</v>
      </c>
      <c r="F41" s="198">
        <f>'11.F&amp;V Crop Production details'!F52</f>
        <v>0</v>
      </c>
      <c r="G41" s="198">
        <f>'11.F&amp;V Crop Production details'!G52</f>
        <v>0</v>
      </c>
      <c r="H41" s="198">
        <f>'11.F&amp;V Crop Production details'!H52</f>
        <v>0</v>
      </c>
    </row>
    <row r="42" spans="1:8">
      <c r="A42" s="198">
        <f>'11.F&amp;V Crop Production details'!A53</f>
        <v>0</v>
      </c>
      <c r="B42" s="198">
        <f>'11.F&amp;V Crop Production details'!B53</f>
        <v>0</v>
      </c>
      <c r="C42" s="198">
        <f>'11.F&amp;V Crop Production details'!C53</f>
        <v>0</v>
      </c>
      <c r="D42" s="198">
        <f>'11.F&amp;V Crop Production details'!D53</f>
        <v>0</v>
      </c>
      <c r="E42" s="198">
        <f>'11.F&amp;V Crop Production details'!E53</f>
        <v>0</v>
      </c>
      <c r="F42" s="198">
        <f>'11.F&amp;V Crop Production details'!F53</f>
        <v>0</v>
      </c>
      <c r="G42" s="198">
        <f>'11.F&amp;V Crop Production details'!G53</f>
        <v>0</v>
      </c>
      <c r="H42" s="198">
        <f>'11.F&amp;V Crop Production details'!H53</f>
        <v>0</v>
      </c>
    </row>
    <row r="43" spans="1:8">
      <c r="A43" s="198">
        <f>'11.F&amp;V Crop Production details'!A54</f>
        <v>0</v>
      </c>
      <c r="B43" s="198">
        <f>'11.F&amp;V Crop Production details'!B54</f>
        <v>0</v>
      </c>
      <c r="C43" s="198">
        <f>'11.F&amp;V Crop Production details'!C54</f>
        <v>0</v>
      </c>
      <c r="D43" s="198">
        <f>'11.F&amp;V Crop Production details'!D54</f>
        <v>0</v>
      </c>
      <c r="E43" s="198">
        <f>'11.F&amp;V Crop Production details'!E54</f>
        <v>0</v>
      </c>
      <c r="F43" s="198">
        <f>'11.F&amp;V Crop Production details'!F54</f>
        <v>0</v>
      </c>
      <c r="G43" s="198">
        <f>'11.F&amp;V Crop Production details'!G54</f>
        <v>0</v>
      </c>
      <c r="H43" s="198">
        <f>'11.F&amp;V Crop Production details'!H54</f>
        <v>0</v>
      </c>
    </row>
    <row r="44" spans="1:8">
      <c r="A44" s="198" t="str">
        <f>'11.F&amp;V Crop Production details'!A55</f>
        <v>Onion</v>
      </c>
      <c r="B44" s="198">
        <f>'11.F&amp;V Crop Production details'!B55</f>
        <v>0</v>
      </c>
      <c r="C44" s="198">
        <f>'11.F&amp;V Crop Production details'!C55</f>
        <v>0</v>
      </c>
      <c r="D44" s="198">
        <f>'11.F&amp;V Crop Production details'!D55</f>
        <v>0</v>
      </c>
      <c r="E44" s="198">
        <f>'11.F&amp;V Crop Production details'!E55</f>
        <v>0</v>
      </c>
      <c r="F44" s="198">
        <f>'11.F&amp;V Crop Production details'!F55</f>
        <v>0</v>
      </c>
      <c r="G44" s="198">
        <f>'11.F&amp;V Crop Production details'!G55</f>
        <v>0</v>
      </c>
      <c r="H44" s="198">
        <f>'11.F&amp;V Crop Production details'!H55</f>
        <v>0</v>
      </c>
    </row>
    <row r="45" spans="1:8">
      <c r="A45" s="198" t="str">
        <f>'11.F&amp;V Crop Production details'!A56</f>
        <v>Tomato</v>
      </c>
      <c r="B45" s="198">
        <f>'11.F&amp;V Crop Production details'!B56</f>
        <v>0</v>
      </c>
      <c r="C45" s="198">
        <f>'11.F&amp;V Crop Production details'!C56</f>
        <v>0</v>
      </c>
      <c r="D45" s="198">
        <f>'11.F&amp;V Crop Production details'!D56</f>
        <v>0</v>
      </c>
      <c r="E45" s="198">
        <f>'11.F&amp;V Crop Production details'!E56</f>
        <v>0</v>
      </c>
      <c r="F45" s="198">
        <f>'11.F&amp;V Crop Production details'!F56</f>
        <v>0</v>
      </c>
      <c r="G45" s="198">
        <f>'11.F&amp;V Crop Production details'!G56</f>
        <v>0</v>
      </c>
      <c r="H45" s="198">
        <f>'11.F&amp;V Crop Production details'!H56</f>
        <v>0</v>
      </c>
    </row>
    <row r="46" spans="1:8">
      <c r="A46" s="198" t="str">
        <f>'11.F&amp;V Crop Production details'!A57</f>
        <v>Okra</v>
      </c>
      <c r="B46" s="198">
        <f>'11.F&amp;V Crop Production details'!B57</f>
        <v>0</v>
      </c>
      <c r="C46" s="198">
        <f>'11.F&amp;V Crop Production details'!C57</f>
        <v>0</v>
      </c>
      <c r="D46" s="198">
        <f>'11.F&amp;V Crop Production details'!D57</f>
        <v>0</v>
      </c>
      <c r="E46" s="198">
        <f>'11.F&amp;V Crop Production details'!E57</f>
        <v>0</v>
      </c>
      <c r="F46" s="198">
        <f>'11.F&amp;V Crop Production details'!F57</f>
        <v>0</v>
      </c>
      <c r="G46" s="198">
        <f>'11.F&amp;V Crop Production details'!G57</f>
        <v>0</v>
      </c>
      <c r="H46" s="198">
        <f>'11.F&amp;V Crop Production details'!H57</f>
        <v>0</v>
      </c>
    </row>
    <row r="47" spans="1:8">
      <c r="A47" s="198" t="str">
        <f>'11.F&amp;V Crop Production details'!A58</f>
        <v>Chilli</v>
      </c>
      <c r="B47" s="198">
        <f>'11.F&amp;V Crop Production details'!B58</f>
        <v>0</v>
      </c>
      <c r="C47" s="198">
        <f>'11.F&amp;V Crop Production details'!C58</f>
        <v>0</v>
      </c>
      <c r="D47" s="198">
        <f>'11.F&amp;V Crop Production details'!D58</f>
        <v>0</v>
      </c>
      <c r="E47" s="198">
        <f>'11.F&amp;V Crop Production details'!E58</f>
        <v>0</v>
      </c>
      <c r="F47" s="198">
        <f>'11.F&amp;V Crop Production details'!F58</f>
        <v>0</v>
      </c>
      <c r="G47" s="198">
        <f>'11.F&amp;V Crop Production details'!G58</f>
        <v>0</v>
      </c>
      <c r="H47" s="198">
        <f>'11.F&amp;V Crop Production details'!H58</f>
        <v>0</v>
      </c>
    </row>
    <row r="48" spans="1:8">
      <c r="A48" s="198" t="str">
        <f>'11.F&amp;V Crop Production details'!A59</f>
        <v>Brinjal</v>
      </c>
      <c r="B48" s="198">
        <f>'11.F&amp;V Crop Production details'!B59</f>
        <v>0</v>
      </c>
      <c r="C48" s="198">
        <f>'11.F&amp;V Crop Production details'!C59</f>
        <v>0</v>
      </c>
      <c r="D48" s="198">
        <f>'11.F&amp;V Crop Production details'!D59</f>
        <v>0</v>
      </c>
      <c r="E48" s="198">
        <f>'11.F&amp;V Crop Production details'!E59</f>
        <v>0</v>
      </c>
      <c r="F48" s="198">
        <f>'11.F&amp;V Crop Production details'!F59</f>
        <v>0</v>
      </c>
      <c r="G48" s="198">
        <f>'11.F&amp;V Crop Production details'!G59</f>
        <v>0</v>
      </c>
      <c r="H48" s="198">
        <f>'11.F&amp;V Crop Production details'!H59</f>
        <v>0</v>
      </c>
    </row>
    <row r="49" spans="1:8">
      <c r="A49" s="198">
        <f>'11.F&amp;V Crop Production details'!A60</f>
        <v>0</v>
      </c>
      <c r="B49" s="198">
        <f>'11.F&amp;V Crop Production details'!B60</f>
        <v>0</v>
      </c>
      <c r="C49" s="198">
        <f>'11.F&amp;V Crop Production details'!C60</f>
        <v>0</v>
      </c>
      <c r="D49" s="198">
        <f>'11.F&amp;V Crop Production details'!D60</f>
        <v>0</v>
      </c>
      <c r="E49" s="198">
        <f>'11.F&amp;V Crop Production details'!E60</f>
        <v>0</v>
      </c>
      <c r="F49" s="198">
        <f>'11.F&amp;V Crop Production details'!F60</f>
        <v>0</v>
      </c>
      <c r="G49" s="198">
        <f>'11.F&amp;V Crop Production details'!G60</f>
        <v>0</v>
      </c>
      <c r="H49" s="198">
        <f>'11.F&amp;V Crop Production details'!H60</f>
        <v>0</v>
      </c>
    </row>
    <row r="50" spans="1:8">
      <c r="A50" s="198">
        <f>'11.F&amp;V Crop Production details'!A61</f>
        <v>0</v>
      </c>
      <c r="B50" s="198">
        <f>'11.F&amp;V Crop Production details'!B61</f>
        <v>0</v>
      </c>
      <c r="C50" s="198">
        <f>'11.F&amp;V Crop Production details'!C61</f>
        <v>0</v>
      </c>
      <c r="D50" s="198">
        <f>'11.F&amp;V Crop Production details'!D61</f>
        <v>0</v>
      </c>
      <c r="E50" s="198">
        <f>'11.F&amp;V Crop Production details'!E61</f>
        <v>0</v>
      </c>
      <c r="F50" s="198">
        <f>'11.F&amp;V Crop Production details'!F61</f>
        <v>0</v>
      </c>
      <c r="G50" s="198">
        <f>'11.F&amp;V Crop Production details'!G61</f>
        <v>0</v>
      </c>
      <c r="H50" s="198">
        <f>'11.F&amp;V Crop Production details'!H61</f>
        <v>0</v>
      </c>
    </row>
    <row r="51" spans="1:8">
      <c r="A51" s="198">
        <f>'11.F&amp;V Crop Production details'!A62</f>
        <v>0</v>
      </c>
      <c r="B51" s="198">
        <f>'11.F&amp;V Crop Production details'!B62</f>
        <v>0</v>
      </c>
      <c r="C51" s="198">
        <f>'11.F&amp;V Crop Production details'!C62</f>
        <v>0</v>
      </c>
      <c r="D51" s="198">
        <f>'11.F&amp;V Crop Production details'!D62</f>
        <v>0</v>
      </c>
      <c r="E51" s="198">
        <f>'11.F&amp;V Crop Production details'!E62</f>
        <v>0</v>
      </c>
      <c r="F51" s="198">
        <f>'11.F&amp;V Crop Production details'!F62</f>
        <v>0</v>
      </c>
      <c r="G51" s="198">
        <f>'11.F&amp;V Crop Production details'!G62</f>
        <v>0</v>
      </c>
      <c r="H51" s="198">
        <f>'11.F&amp;V Crop Production details'!H62</f>
        <v>0</v>
      </c>
    </row>
    <row r="52" spans="1:8">
      <c r="A52" s="198">
        <f>'11.F&amp;V Crop Production details'!A63</f>
        <v>0</v>
      </c>
      <c r="B52" s="198">
        <f>'11.F&amp;V Crop Production details'!B63</f>
        <v>0</v>
      </c>
      <c r="C52" s="198">
        <f>'11.F&amp;V Crop Production details'!C63</f>
        <v>0</v>
      </c>
      <c r="D52" s="198">
        <f>'11.F&amp;V Crop Production details'!D63</f>
        <v>0</v>
      </c>
      <c r="E52" s="198">
        <f>'11.F&amp;V Crop Production details'!E63</f>
        <v>0</v>
      </c>
      <c r="F52" s="198">
        <f>'11.F&amp;V Crop Production details'!F63</f>
        <v>0</v>
      </c>
      <c r="G52" s="198">
        <f>'11.F&amp;V Crop Production details'!G63</f>
        <v>0</v>
      </c>
      <c r="H52" s="198">
        <f>'11.F&amp;V Crop Production details'!H63</f>
        <v>0</v>
      </c>
    </row>
    <row r="53" spans="1:8">
      <c r="A53" s="198">
        <f>'11.F&amp;V Crop Production details'!A64</f>
        <v>0</v>
      </c>
      <c r="B53" s="198"/>
      <c r="C53" s="198"/>
      <c r="D53" s="198"/>
      <c r="E53" s="198"/>
      <c r="F53" s="198"/>
      <c r="G53" s="198"/>
      <c r="H53" s="198"/>
    </row>
    <row r="54" spans="1:8">
      <c r="A54" s="198">
        <f>'11.F&amp;V Crop Production details'!A65</f>
        <v>0</v>
      </c>
      <c r="B54" s="198"/>
      <c r="C54" s="198"/>
      <c r="D54" s="198"/>
      <c r="E54" s="198"/>
      <c r="F54" s="198"/>
      <c r="G54" s="198"/>
      <c r="H54" s="198"/>
    </row>
    <row r="55" spans="1:8">
      <c r="A55" s="198">
        <f>'11.F&amp;V Crop Production details'!A66</f>
        <v>0</v>
      </c>
      <c r="B55" s="198"/>
      <c r="C55" s="198"/>
      <c r="D55" s="198"/>
      <c r="E55" s="198"/>
      <c r="F55" s="198"/>
      <c r="G55" s="198"/>
      <c r="H55" s="198"/>
    </row>
    <row r="56" spans="1:8">
      <c r="A56" s="198" t="str">
        <f>'11.F&amp;V Crop Production details'!A67</f>
        <v>Pomegranate</v>
      </c>
      <c r="B56" s="198">
        <f>'11.F&amp;V Crop Production details'!B67</f>
        <v>0</v>
      </c>
      <c r="C56" s="198">
        <f>'11.F&amp;V Crop Production details'!C67</f>
        <v>0</v>
      </c>
      <c r="D56" s="198">
        <f>'11.F&amp;V Crop Production details'!D67</f>
        <v>0</v>
      </c>
      <c r="E56" s="198">
        <f>'11.F&amp;V Crop Production details'!E67</f>
        <v>0</v>
      </c>
      <c r="F56" s="198">
        <f>'11.F&amp;V Crop Production details'!F67</f>
        <v>0</v>
      </c>
      <c r="G56" s="198">
        <f>'11.F&amp;V Crop Production details'!G67</f>
        <v>0</v>
      </c>
      <c r="H56" s="198">
        <f>'11.F&amp;V Crop Production details'!H67</f>
        <v>0</v>
      </c>
    </row>
    <row r="57" spans="1:8">
      <c r="A57" s="198" t="str">
        <f>'11.F&amp;V Crop Production details'!A68</f>
        <v>Custard Apple</v>
      </c>
      <c r="B57" s="198">
        <f>'11.F&amp;V Crop Production details'!B68</f>
        <v>0</v>
      </c>
      <c r="C57" s="198">
        <f>'11.F&amp;V Crop Production details'!C68</f>
        <v>0</v>
      </c>
      <c r="D57" s="198">
        <f>'11.F&amp;V Crop Production details'!D68</f>
        <v>0</v>
      </c>
      <c r="E57" s="198">
        <f>'11.F&amp;V Crop Production details'!E68</f>
        <v>0</v>
      </c>
      <c r="F57" s="198">
        <f>'11.F&amp;V Crop Production details'!F68</f>
        <v>0</v>
      </c>
      <c r="G57" s="198">
        <f>'11.F&amp;V Crop Production details'!G68</f>
        <v>0</v>
      </c>
      <c r="H57" s="198">
        <f>'11.F&amp;V Crop Production details'!H68</f>
        <v>0</v>
      </c>
    </row>
    <row r="58" spans="1:8">
      <c r="A58" s="198" t="str">
        <f>'11.F&amp;V Crop Production details'!A69</f>
        <v>Guava</v>
      </c>
      <c r="B58" s="198">
        <f>'11.F&amp;V Crop Production details'!B69</f>
        <v>0</v>
      </c>
      <c r="C58" s="198">
        <f>'11.F&amp;V Crop Production details'!C69</f>
        <v>0</v>
      </c>
      <c r="D58" s="198">
        <f>'11.F&amp;V Crop Production details'!D69</f>
        <v>0</v>
      </c>
      <c r="E58" s="198">
        <f>'11.F&amp;V Crop Production details'!E69</f>
        <v>0</v>
      </c>
      <c r="F58" s="198">
        <f>'11.F&amp;V Crop Production details'!F69</f>
        <v>0</v>
      </c>
      <c r="G58" s="198">
        <f>'11.F&amp;V Crop Production details'!G69</f>
        <v>0</v>
      </c>
      <c r="H58" s="198">
        <f>'11.F&amp;V Crop Production details'!H69</f>
        <v>0</v>
      </c>
    </row>
    <row r="59" spans="1:8">
      <c r="A59" s="198" t="str">
        <f>'11.F&amp;V Crop Production details'!A70</f>
        <v>Citrus</v>
      </c>
      <c r="B59" s="198">
        <f>'11.F&amp;V Crop Production details'!B70</f>
        <v>0</v>
      </c>
      <c r="C59" s="198">
        <f>'11.F&amp;V Crop Production details'!C70</f>
        <v>0</v>
      </c>
      <c r="D59" s="198">
        <f>'11.F&amp;V Crop Production details'!D70</f>
        <v>0</v>
      </c>
      <c r="E59" s="198">
        <f>'11.F&amp;V Crop Production details'!E70</f>
        <v>0</v>
      </c>
      <c r="F59" s="198">
        <f>'11.F&amp;V Crop Production details'!F70</f>
        <v>0</v>
      </c>
      <c r="G59" s="198">
        <f>'11.F&amp;V Crop Production details'!G70</f>
        <v>0</v>
      </c>
      <c r="H59" s="198">
        <f>'11.F&amp;V Crop Production details'!H70</f>
        <v>0</v>
      </c>
    </row>
    <row r="60" spans="1:8">
      <c r="A60" s="198"/>
      <c r="B60" s="198"/>
      <c r="C60" s="198"/>
      <c r="D60" s="198"/>
      <c r="E60" s="198"/>
      <c r="F60" s="198"/>
      <c r="G60" s="198"/>
      <c r="H60" s="198"/>
    </row>
    <row r="61" spans="1:8">
      <c r="A61" s="95" t="s">
        <v>520</v>
      </c>
      <c r="B61" s="198">
        <f t="shared" ref="B61:H61" si="3">SUM(B35:B59)</f>
        <v>0</v>
      </c>
      <c r="C61" s="198">
        <f t="shared" si="3"/>
        <v>0</v>
      </c>
      <c r="D61" s="198">
        <f t="shared" si="3"/>
        <v>0</v>
      </c>
      <c r="E61" s="198">
        <f t="shared" si="3"/>
        <v>0</v>
      </c>
      <c r="F61" s="198">
        <f t="shared" si="3"/>
        <v>0</v>
      </c>
      <c r="G61" s="198">
        <f t="shared" si="3"/>
        <v>0</v>
      </c>
      <c r="H61" s="198">
        <f t="shared" si="3"/>
        <v>0</v>
      </c>
    </row>
    <row r="62" spans="1:8">
      <c r="A62" s="280" t="s">
        <v>522</v>
      </c>
      <c r="B62" s="299">
        <v>0.5</v>
      </c>
      <c r="C62" s="299">
        <v>0.5</v>
      </c>
      <c r="D62" s="299">
        <v>0.5</v>
      </c>
      <c r="E62" s="299">
        <v>0.5</v>
      </c>
      <c r="F62" s="299">
        <v>0.5</v>
      </c>
      <c r="G62" s="299">
        <v>0.5</v>
      </c>
      <c r="H62" s="299">
        <v>0.5</v>
      </c>
    </row>
    <row r="63" spans="1:8">
      <c r="A63" s="280" t="s">
        <v>523</v>
      </c>
      <c r="B63" s="299">
        <f t="shared" ref="B63:H63" si="4">1-B62</f>
        <v>0.5</v>
      </c>
      <c r="C63" s="299">
        <f t="shared" si="4"/>
        <v>0.5</v>
      </c>
      <c r="D63" s="299">
        <f t="shared" si="4"/>
        <v>0.5</v>
      </c>
      <c r="E63" s="299">
        <f t="shared" si="4"/>
        <v>0.5</v>
      </c>
      <c r="F63" s="299">
        <f t="shared" si="4"/>
        <v>0.5</v>
      </c>
      <c r="G63" s="299">
        <f t="shared" si="4"/>
        <v>0.5</v>
      </c>
      <c r="H63" s="299">
        <f t="shared" si="4"/>
        <v>0.5</v>
      </c>
    </row>
    <row r="64" spans="1:8">
      <c r="A64" s="280"/>
      <c r="B64" s="299"/>
      <c r="C64" s="299"/>
      <c r="D64" s="299"/>
      <c r="E64" s="299"/>
      <c r="F64" s="299"/>
      <c r="G64" s="299"/>
      <c r="H64" s="299"/>
    </row>
    <row r="65" spans="1:8">
      <c r="A65" s="280" t="s">
        <v>166</v>
      </c>
      <c r="B65" s="281">
        <f t="shared" ref="B65:H65" si="5">B33*B62</f>
        <v>5474.5152000000007</v>
      </c>
      <c r="C65" s="281">
        <f t="shared" si="5"/>
        <v>6158.8295999999991</v>
      </c>
      <c r="D65" s="281">
        <f t="shared" si="5"/>
        <v>6843.1439999999993</v>
      </c>
      <c r="E65" s="281">
        <f t="shared" si="5"/>
        <v>7527.4583999999995</v>
      </c>
      <c r="F65" s="281">
        <f t="shared" si="5"/>
        <v>8211.7728000000006</v>
      </c>
      <c r="G65" s="281">
        <f t="shared" si="5"/>
        <v>8896.0872000000018</v>
      </c>
      <c r="H65" s="281">
        <f t="shared" si="5"/>
        <v>9580.4016000000029</v>
      </c>
    </row>
    <row r="66" spans="1:8">
      <c r="A66" s="95"/>
      <c r="B66" s="198"/>
      <c r="C66" s="198"/>
      <c r="D66" s="198"/>
      <c r="E66" s="198"/>
      <c r="F66" s="198"/>
      <c r="G66" s="198"/>
      <c r="H66" s="198"/>
    </row>
    <row r="67" spans="1:8">
      <c r="A67" s="95" t="s">
        <v>167</v>
      </c>
      <c r="B67" s="198"/>
      <c r="C67" s="198"/>
      <c r="D67" s="198"/>
      <c r="E67" s="198"/>
      <c r="F67" s="198"/>
      <c r="G67" s="198"/>
      <c r="H67" s="198"/>
    </row>
    <row r="68" spans="1:8">
      <c r="A68" s="93" t="str">
        <f t="shared" ref="A68:A89" si="6">A11</f>
        <v>Soybean</v>
      </c>
      <c r="B68" s="297">
        <f t="shared" ref="B68:B89" si="7">B11*$B$63</f>
        <v>4181.76</v>
      </c>
      <c r="C68" s="297">
        <f t="shared" ref="C68:C83" si="8">C11*$C$63</f>
        <v>4704.4799999999996</v>
      </c>
      <c r="D68" s="297">
        <f t="shared" ref="D68:D83" si="9">D11*$D$63</f>
        <v>5227.2</v>
      </c>
      <c r="E68" s="297">
        <f t="shared" ref="E68:E83" si="10">E11*$E$63</f>
        <v>5749.92</v>
      </c>
      <c r="F68" s="297">
        <f t="shared" ref="F68:F83" si="11">F11*$F$63</f>
        <v>6272.64</v>
      </c>
      <c r="G68" s="297">
        <f t="shared" ref="G68:G83" si="12">G11*$G$63</f>
        <v>6795.3600000000015</v>
      </c>
      <c r="H68" s="297">
        <f t="shared" ref="H68:H83" si="13">H11*$H$63</f>
        <v>7318.0800000000017</v>
      </c>
    </row>
    <row r="69" spans="1:8">
      <c r="A69" s="93" t="str">
        <f t="shared" si="6"/>
        <v>Red Gram/Tur</v>
      </c>
      <c r="B69" s="297">
        <f t="shared" si="7"/>
        <v>300.95999999999998</v>
      </c>
      <c r="C69" s="297">
        <f t="shared" si="8"/>
        <v>338.57999999999993</v>
      </c>
      <c r="D69" s="297">
        <f t="shared" si="9"/>
        <v>376.19999999999993</v>
      </c>
      <c r="E69" s="297">
        <f t="shared" si="10"/>
        <v>413.81999999999994</v>
      </c>
      <c r="F69" s="297">
        <f t="shared" si="11"/>
        <v>451.44</v>
      </c>
      <c r="G69" s="297">
        <f t="shared" si="12"/>
        <v>489.06</v>
      </c>
      <c r="H69" s="297">
        <f t="shared" si="13"/>
        <v>526.68000000000006</v>
      </c>
    </row>
    <row r="70" spans="1:8">
      <c r="A70" s="93" t="str">
        <f t="shared" si="6"/>
        <v>Paddy/Rice</v>
      </c>
      <c r="B70" s="297">
        <f t="shared" si="7"/>
        <v>0</v>
      </c>
      <c r="C70" s="297">
        <f t="shared" si="8"/>
        <v>0</v>
      </c>
      <c r="D70" s="297">
        <f t="shared" si="9"/>
        <v>0</v>
      </c>
      <c r="E70" s="297">
        <f t="shared" si="10"/>
        <v>0</v>
      </c>
      <c r="F70" s="297">
        <f t="shared" si="11"/>
        <v>0</v>
      </c>
      <c r="G70" s="297">
        <f t="shared" si="12"/>
        <v>0</v>
      </c>
      <c r="H70" s="297">
        <f t="shared" si="13"/>
        <v>0</v>
      </c>
    </row>
    <row r="71" spans="1:8">
      <c r="A71" s="93" t="str">
        <f t="shared" si="6"/>
        <v>Green Gram/ Moong</v>
      </c>
      <c r="B71" s="297">
        <f t="shared" si="7"/>
        <v>13.200000000000001</v>
      </c>
      <c r="C71" s="297">
        <f t="shared" si="8"/>
        <v>14.85</v>
      </c>
      <c r="D71" s="297">
        <f t="shared" si="9"/>
        <v>16.5</v>
      </c>
      <c r="E71" s="297">
        <f t="shared" si="10"/>
        <v>18.150000000000002</v>
      </c>
      <c r="F71" s="297">
        <f t="shared" si="11"/>
        <v>19.800000000000004</v>
      </c>
      <c r="G71" s="297">
        <f t="shared" si="12"/>
        <v>21.450000000000003</v>
      </c>
      <c r="H71" s="297">
        <f t="shared" si="13"/>
        <v>23.100000000000005</v>
      </c>
    </row>
    <row r="72" spans="1:8">
      <c r="A72" s="93" t="str">
        <f t="shared" si="6"/>
        <v>Maize</v>
      </c>
      <c r="B72" s="297">
        <f t="shared" si="7"/>
        <v>0</v>
      </c>
      <c r="C72" s="297">
        <f t="shared" si="8"/>
        <v>0</v>
      </c>
      <c r="D72" s="297">
        <f t="shared" si="9"/>
        <v>0</v>
      </c>
      <c r="E72" s="297">
        <f t="shared" si="10"/>
        <v>0</v>
      </c>
      <c r="F72" s="297">
        <f t="shared" si="11"/>
        <v>0</v>
      </c>
      <c r="G72" s="297">
        <f t="shared" si="12"/>
        <v>0</v>
      </c>
      <c r="H72" s="297">
        <f t="shared" si="13"/>
        <v>0</v>
      </c>
    </row>
    <row r="73" spans="1:8">
      <c r="A73" s="93" t="str">
        <f t="shared" si="6"/>
        <v>Black Gram/Udid</v>
      </c>
      <c r="B73" s="297">
        <f t="shared" si="7"/>
        <v>0</v>
      </c>
      <c r="C73" s="297">
        <f t="shared" si="8"/>
        <v>0</v>
      </c>
      <c r="D73" s="297">
        <f t="shared" si="9"/>
        <v>0</v>
      </c>
      <c r="E73" s="297">
        <f t="shared" si="10"/>
        <v>0</v>
      </c>
      <c r="F73" s="297">
        <f t="shared" si="11"/>
        <v>0</v>
      </c>
      <c r="G73" s="297">
        <f t="shared" si="12"/>
        <v>0</v>
      </c>
      <c r="H73" s="297">
        <f t="shared" si="13"/>
        <v>0</v>
      </c>
    </row>
    <row r="74" spans="1:8">
      <c r="A74" s="93" t="str">
        <f t="shared" si="6"/>
        <v>Bajra</v>
      </c>
      <c r="B74" s="297">
        <f t="shared" si="7"/>
        <v>0</v>
      </c>
      <c r="C74" s="297">
        <f t="shared" si="8"/>
        <v>0</v>
      </c>
      <c r="D74" s="297">
        <f t="shared" si="9"/>
        <v>0</v>
      </c>
      <c r="E74" s="297">
        <f t="shared" si="10"/>
        <v>0</v>
      </c>
      <c r="F74" s="297">
        <f t="shared" si="11"/>
        <v>0</v>
      </c>
      <c r="G74" s="297">
        <f t="shared" si="12"/>
        <v>0</v>
      </c>
      <c r="H74" s="297">
        <f t="shared" si="13"/>
        <v>0</v>
      </c>
    </row>
    <row r="75" spans="1:8">
      <c r="A75" s="93" t="str">
        <f t="shared" si="6"/>
        <v>Jawar</v>
      </c>
      <c r="B75" s="297">
        <f t="shared" si="7"/>
        <v>7.9200000000000008</v>
      </c>
      <c r="C75" s="297">
        <f t="shared" si="8"/>
        <v>8.91</v>
      </c>
      <c r="D75" s="297">
        <f t="shared" si="9"/>
        <v>9.9</v>
      </c>
      <c r="E75" s="297">
        <f t="shared" si="10"/>
        <v>10.89</v>
      </c>
      <c r="F75" s="297">
        <f t="shared" si="11"/>
        <v>11.880000000000003</v>
      </c>
      <c r="G75" s="297">
        <f t="shared" si="12"/>
        <v>12.870000000000003</v>
      </c>
      <c r="H75" s="297">
        <f t="shared" si="13"/>
        <v>13.860000000000005</v>
      </c>
    </row>
    <row r="76" spans="1:8">
      <c r="A76" s="93" t="str">
        <f t="shared" si="6"/>
        <v>Sunflower</v>
      </c>
      <c r="B76" s="297">
        <f t="shared" si="7"/>
        <v>0</v>
      </c>
      <c r="C76" s="297">
        <f t="shared" si="8"/>
        <v>0</v>
      </c>
      <c r="D76" s="297">
        <f t="shared" si="9"/>
        <v>0</v>
      </c>
      <c r="E76" s="297">
        <f t="shared" si="10"/>
        <v>0</v>
      </c>
      <c r="F76" s="297">
        <f t="shared" si="11"/>
        <v>0</v>
      </c>
      <c r="G76" s="297">
        <f t="shared" si="12"/>
        <v>0</v>
      </c>
      <c r="H76" s="297">
        <f t="shared" si="13"/>
        <v>0</v>
      </c>
    </row>
    <row r="77" spans="1:8">
      <c r="A77" s="93" t="str">
        <f t="shared" si="6"/>
        <v>Wheat</v>
      </c>
      <c r="B77" s="297">
        <f t="shared" si="7"/>
        <v>11.404800000000002</v>
      </c>
      <c r="C77" s="297">
        <f t="shared" si="8"/>
        <v>12.830400000000003</v>
      </c>
      <c r="D77" s="297">
        <f t="shared" si="9"/>
        <v>14.256000000000002</v>
      </c>
      <c r="E77" s="297">
        <f t="shared" si="10"/>
        <v>15.681600000000003</v>
      </c>
      <c r="F77" s="297">
        <f t="shared" si="11"/>
        <v>17.107200000000006</v>
      </c>
      <c r="G77" s="297">
        <f t="shared" si="12"/>
        <v>18.532800000000005</v>
      </c>
      <c r="H77" s="297">
        <f t="shared" si="13"/>
        <v>19.958400000000008</v>
      </c>
    </row>
    <row r="78" spans="1:8">
      <c r="A78" s="93" t="str">
        <f t="shared" si="6"/>
        <v>Bengal Gram/Channa</v>
      </c>
      <c r="B78" s="297">
        <f t="shared" si="7"/>
        <v>912.38400000000001</v>
      </c>
      <c r="C78" s="297">
        <f t="shared" si="8"/>
        <v>1026.432</v>
      </c>
      <c r="D78" s="297">
        <f t="shared" si="9"/>
        <v>1140.48</v>
      </c>
      <c r="E78" s="297">
        <f t="shared" si="10"/>
        <v>1254.528</v>
      </c>
      <c r="F78" s="297">
        <f t="shared" si="11"/>
        <v>1368.5760000000002</v>
      </c>
      <c r="G78" s="297">
        <f t="shared" si="12"/>
        <v>1482.6240000000003</v>
      </c>
      <c r="H78" s="297">
        <f t="shared" si="13"/>
        <v>1596.6720000000005</v>
      </c>
    </row>
    <row r="79" spans="1:8">
      <c r="A79" s="93" t="str">
        <f t="shared" si="6"/>
        <v>Jawar</v>
      </c>
      <c r="B79" s="297">
        <f t="shared" si="7"/>
        <v>42.134400000000007</v>
      </c>
      <c r="C79" s="297">
        <f t="shared" si="8"/>
        <v>47.40120000000001</v>
      </c>
      <c r="D79" s="297">
        <f t="shared" si="9"/>
        <v>52.668000000000006</v>
      </c>
      <c r="E79" s="297">
        <f t="shared" si="10"/>
        <v>57.93480000000001</v>
      </c>
      <c r="F79" s="297">
        <f t="shared" si="11"/>
        <v>63.20160000000002</v>
      </c>
      <c r="G79" s="297">
        <f t="shared" si="12"/>
        <v>68.468400000000017</v>
      </c>
      <c r="H79" s="297">
        <f t="shared" si="13"/>
        <v>73.73520000000002</v>
      </c>
    </row>
    <row r="80" spans="1:8">
      <c r="A80" s="93" t="str">
        <f t="shared" si="6"/>
        <v>Maize</v>
      </c>
      <c r="B80" s="297">
        <f t="shared" si="7"/>
        <v>0</v>
      </c>
      <c r="C80" s="297">
        <f t="shared" si="8"/>
        <v>0</v>
      </c>
      <c r="D80" s="297">
        <f t="shared" si="9"/>
        <v>0</v>
      </c>
      <c r="E80" s="297">
        <f t="shared" si="10"/>
        <v>0</v>
      </c>
      <c r="F80" s="297">
        <f t="shared" si="11"/>
        <v>0</v>
      </c>
      <c r="G80" s="297">
        <f t="shared" si="12"/>
        <v>0</v>
      </c>
      <c r="H80" s="297">
        <f t="shared" si="13"/>
        <v>0</v>
      </c>
    </row>
    <row r="81" spans="1:12">
      <c r="A81" s="93" t="str">
        <f t="shared" si="6"/>
        <v>Safflower</v>
      </c>
      <c r="B81" s="297">
        <f t="shared" si="7"/>
        <v>4.7519999999999998</v>
      </c>
      <c r="C81" s="297">
        <f t="shared" si="8"/>
        <v>5.3460000000000001</v>
      </c>
      <c r="D81" s="297">
        <f t="shared" si="9"/>
        <v>5.94</v>
      </c>
      <c r="E81" s="297">
        <f t="shared" si="10"/>
        <v>6.5340000000000007</v>
      </c>
      <c r="F81" s="297">
        <f t="shared" si="11"/>
        <v>7.1280000000000019</v>
      </c>
      <c r="G81" s="297">
        <f t="shared" si="12"/>
        <v>7.7220000000000022</v>
      </c>
      <c r="H81" s="297">
        <f t="shared" si="13"/>
        <v>8.3160000000000025</v>
      </c>
    </row>
    <row r="82" spans="1:12">
      <c r="A82" s="93">
        <f t="shared" si="6"/>
        <v>0</v>
      </c>
      <c r="B82" s="297">
        <f t="shared" si="7"/>
        <v>0</v>
      </c>
      <c r="C82" s="297">
        <f t="shared" si="8"/>
        <v>0</v>
      </c>
      <c r="D82" s="297">
        <f t="shared" si="9"/>
        <v>0</v>
      </c>
      <c r="E82" s="297">
        <f t="shared" si="10"/>
        <v>0</v>
      </c>
      <c r="F82" s="297">
        <f t="shared" si="11"/>
        <v>0</v>
      </c>
      <c r="G82" s="297">
        <f t="shared" si="12"/>
        <v>0</v>
      </c>
      <c r="H82" s="297">
        <f t="shared" si="13"/>
        <v>0</v>
      </c>
    </row>
    <row r="83" spans="1:12">
      <c r="A83" s="93">
        <f t="shared" si="6"/>
        <v>0</v>
      </c>
      <c r="B83" s="297">
        <f t="shared" si="7"/>
        <v>0</v>
      </c>
      <c r="C83" s="297">
        <f t="shared" si="8"/>
        <v>0</v>
      </c>
      <c r="D83" s="297">
        <f t="shared" si="9"/>
        <v>0</v>
      </c>
      <c r="E83" s="297">
        <f t="shared" si="10"/>
        <v>0</v>
      </c>
      <c r="F83" s="297">
        <f t="shared" si="11"/>
        <v>0</v>
      </c>
      <c r="G83" s="297">
        <f t="shared" si="12"/>
        <v>0</v>
      </c>
      <c r="H83" s="297">
        <f t="shared" si="13"/>
        <v>0</v>
      </c>
    </row>
    <row r="84" spans="1:12">
      <c r="A84" s="93">
        <f t="shared" si="6"/>
        <v>0</v>
      </c>
      <c r="B84" s="297">
        <f t="shared" si="7"/>
        <v>0</v>
      </c>
      <c r="C84" s="297">
        <f t="shared" ref="C84:H89" si="14">C27*$B$63</f>
        <v>0</v>
      </c>
      <c r="D84" s="297">
        <f t="shared" si="14"/>
        <v>0</v>
      </c>
      <c r="E84" s="297">
        <f t="shared" si="14"/>
        <v>0</v>
      </c>
      <c r="F84" s="297">
        <f t="shared" si="14"/>
        <v>0</v>
      </c>
      <c r="G84" s="297">
        <f t="shared" si="14"/>
        <v>0</v>
      </c>
      <c r="H84" s="297">
        <f t="shared" si="14"/>
        <v>0</v>
      </c>
    </row>
    <row r="85" spans="1:12">
      <c r="A85" s="93" t="str">
        <f t="shared" si="6"/>
        <v>Groundnut</v>
      </c>
      <c r="B85" s="297">
        <f t="shared" si="7"/>
        <v>0</v>
      </c>
      <c r="C85" s="297">
        <f t="shared" si="14"/>
        <v>0</v>
      </c>
      <c r="D85" s="297">
        <f t="shared" si="14"/>
        <v>0</v>
      </c>
      <c r="E85" s="297">
        <f t="shared" si="14"/>
        <v>0</v>
      </c>
      <c r="F85" s="297">
        <f t="shared" si="14"/>
        <v>0</v>
      </c>
      <c r="G85" s="297">
        <f t="shared" si="14"/>
        <v>0</v>
      </c>
      <c r="H85" s="297">
        <f t="shared" si="14"/>
        <v>0</v>
      </c>
    </row>
    <row r="86" spans="1:12">
      <c r="A86" s="93">
        <f t="shared" si="6"/>
        <v>0</v>
      </c>
      <c r="B86" s="297">
        <f t="shared" si="7"/>
        <v>0</v>
      </c>
      <c r="C86" s="297">
        <f t="shared" si="14"/>
        <v>0</v>
      </c>
      <c r="D86" s="297">
        <f t="shared" si="14"/>
        <v>0</v>
      </c>
      <c r="E86" s="297">
        <f t="shared" si="14"/>
        <v>0</v>
      </c>
      <c r="F86" s="297">
        <f t="shared" si="14"/>
        <v>0</v>
      </c>
      <c r="G86" s="297">
        <f t="shared" si="14"/>
        <v>0</v>
      </c>
      <c r="H86" s="297">
        <f t="shared" si="14"/>
        <v>0</v>
      </c>
    </row>
    <row r="87" spans="1:12">
      <c r="A87" s="93">
        <f t="shared" si="6"/>
        <v>0</v>
      </c>
      <c r="B87" s="297">
        <f t="shared" si="7"/>
        <v>0</v>
      </c>
      <c r="C87" s="297">
        <f t="shared" si="14"/>
        <v>0</v>
      </c>
      <c r="D87" s="297">
        <f t="shared" si="14"/>
        <v>0</v>
      </c>
      <c r="E87" s="297">
        <f t="shared" si="14"/>
        <v>0</v>
      </c>
      <c r="F87" s="297">
        <f t="shared" si="14"/>
        <v>0</v>
      </c>
      <c r="G87" s="297">
        <f t="shared" si="14"/>
        <v>0</v>
      </c>
      <c r="H87" s="297">
        <f t="shared" si="14"/>
        <v>0</v>
      </c>
    </row>
    <row r="88" spans="1:12">
      <c r="A88" s="93">
        <f t="shared" si="6"/>
        <v>0</v>
      </c>
      <c r="B88" s="297">
        <f t="shared" si="7"/>
        <v>0</v>
      </c>
      <c r="C88" s="297">
        <f t="shared" si="14"/>
        <v>0</v>
      </c>
      <c r="D88" s="297">
        <f t="shared" si="14"/>
        <v>0</v>
      </c>
      <c r="E88" s="297">
        <f t="shared" si="14"/>
        <v>0</v>
      </c>
      <c r="F88" s="297">
        <f t="shared" si="14"/>
        <v>0</v>
      </c>
      <c r="G88" s="297">
        <f t="shared" si="14"/>
        <v>0</v>
      </c>
      <c r="H88" s="297">
        <f t="shared" si="14"/>
        <v>0</v>
      </c>
    </row>
    <row r="89" spans="1:12">
      <c r="A89" s="93">
        <f t="shared" si="6"/>
        <v>0</v>
      </c>
      <c r="B89" s="297">
        <f t="shared" si="7"/>
        <v>0</v>
      </c>
      <c r="C89" s="297">
        <f t="shared" si="14"/>
        <v>0</v>
      </c>
      <c r="D89" s="297">
        <f t="shared" si="14"/>
        <v>0</v>
      </c>
      <c r="E89" s="297">
        <f t="shared" si="14"/>
        <v>0</v>
      </c>
      <c r="F89" s="297">
        <f t="shared" si="14"/>
        <v>0</v>
      </c>
      <c r="G89" s="297">
        <f t="shared" si="14"/>
        <v>0</v>
      </c>
      <c r="H89" s="297">
        <f t="shared" si="14"/>
        <v>0</v>
      </c>
    </row>
    <row r="90" spans="1:12">
      <c r="A90" s="93"/>
      <c r="B90" s="297"/>
      <c r="C90" s="297"/>
      <c r="D90" s="297"/>
      <c r="E90" s="297"/>
      <c r="F90" s="297"/>
      <c r="G90" s="297"/>
      <c r="H90" s="297"/>
      <c r="J90" s="319"/>
      <c r="K90" s="319"/>
      <c r="L90" s="319"/>
    </row>
    <row r="91" spans="1:12">
      <c r="A91" s="93" t="str">
        <f t="shared" ref="A91:A109" si="15">A34</f>
        <v>Fruit  &amp; Vegetables Crop Production Details</v>
      </c>
      <c r="B91" s="297"/>
      <c r="C91" s="297"/>
      <c r="D91" s="297"/>
      <c r="E91" s="297"/>
      <c r="F91" s="297"/>
      <c r="G91" s="297"/>
      <c r="H91" s="297"/>
      <c r="J91" s="319"/>
      <c r="K91" s="319"/>
      <c r="L91" s="319"/>
    </row>
    <row r="92" spans="1:12">
      <c r="A92" s="93" t="str">
        <f t="shared" si="15"/>
        <v>Onion</v>
      </c>
      <c r="B92" s="297">
        <f t="shared" ref="B92:H101" si="16">B35</f>
        <v>0</v>
      </c>
      <c r="C92" s="297">
        <f t="shared" si="16"/>
        <v>0</v>
      </c>
      <c r="D92" s="297">
        <f t="shared" si="16"/>
        <v>0</v>
      </c>
      <c r="E92" s="297">
        <f t="shared" si="16"/>
        <v>0</v>
      </c>
      <c r="F92" s="297">
        <f t="shared" si="16"/>
        <v>0</v>
      </c>
      <c r="G92" s="297">
        <f t="shared" si="16"/>
        <v>0</v>
      </c>
      <c r="H92" s="297">
        <f t="shared" si="16"/>
        <v>0</v>
      </c>
      <c r="J92" s="319"/>
      <c r="K92" s="319"/>
      <c r="L92" s="319"/>
    </row>
    <row r="93" spans="1:12">
      <c r="A93" s="93" t="str">
        <f t="shared" si="15"/>
        <v>Tomato</v>
      </c>
      <c r="B93" s="297">
        <f t="shared" si="16"/>
        <v>0</v>
      </c>
      <c r="C93" s="297">
        <f t="shared" si="16"/>
        <v>0</v>
      </c>
      <c r="D93" s="297">
        <f t="shared" si="16"/>
        <v>0</v>
      </c>
      <c r="E93" s="297">
        <f t="shared" si="16"/>
        <v>0</v>
      </c>
      <c r="F93" s="297">
        <f t="shared" si="16"/>
        <v>0</v>
      </c>
      <c r="G93" s="297">
        <f t="shared" si="16"/>
        <v>0</v>
      </c>
      <c r="H93" s="297">
        <f t="shared" si="16"/>
        <v>0</v>
      </c>
      <c r="J93" s="319"/>
      <c r="K93" s="319"/>
      <c r="L93" s="319"/>
    </row>
    <row r="94" spans="1:12">
      <c r="A94" s="93" t="str">
        <f t="shared" si="15"/>
        <v>Okra</v>
      </c>
      <c r="B94" s="297">
        <f t="shared" si="16"/>
        <v>0</v>
      </c>
      <c r="C94" s="297">
        <f t="shared" si="16"/>
        <v>0</v>
      </c>
      <c r="D94" s="297">
        <f t="shared" si="16"/>
        <v>0</v>
      </c>
      <c r="E94" s="297">
        <f t="shared" si="16"/>
        <v>0</v>
      </c>
      <c r="F94" s="297">
        <f t="shared" si="16"/>
        <v>0</v>
      </c>
      <c r="G94" s="297">
        <f t="shared" si="16"/>
        <v>0</v>
      </c>
      <c r="H94" s="297">
        <f t="shared" si="16"/>
        <v>0</v>
      </c>
      <c r="J94" s="319"/>
      <c r="K94" s="319"/>
      <c r="L94" s="319"/>
    </row>
    <row r="95" spans="1:12">
      <c r="A95" s="93" t="str">
        <f t="shared" si="15"/>
        <v>Chilli</v>
      </c>
      <c r="B95" s="297">
        <f t="shared" si="16"/>
        <v>0</v>
      </c>
      <c r="C95" s="297">
        <f t="shared" si="16"/>
        <v>0</v>
      </c>
      <c r="D95" s="297">
        <f t="shared" si="16"/>
        <v>0</v>
      </c>
      <c r="E95" s="297">
        <f t="shared" si="16"/>
        <v>0</v>
      </c>
      <c r="F95" s="297">
        <f t="shared" si="16"/>
        <v>0</v>
      </c>
      <c r="G95" s="297">
        <f t="shared" si="16"/>
        <v>0</v>
      </c>
      <c r="H95" s="297">
        <f t="shared" si="16"/>
        <v>0</v>
      </c>
      <c r="J95" s="319"/>
      <c r="K95" s="319"/>
      <c r="L95" s="319"/>
    </row>
    <row r="96" spans="1:12">
      <c r="A96" s="93" t="str">
        <f t="shared" si="15"/>
        <v>Potato</v>
      </c>
      <c r="B96" s="297">
        <f t="shared" si="16"/>
        <v>0</v>
      </c>
      <c r="C96" s="297">
        <f t="shared" si="16"/>
        <v>0</v>
      </c>
      <c r="D96" s="297">
        <f t="shared" si="16"/>
        <v>0</v>
      </c>
      <c r="E96" s="297">
        <f t="shared" si="16"/>
        <v>0</v>
      </c>
      <c r="F96" s="297">
        <f t="shared" si="16"/>
        <v>0</v>
      </c>
      <c r="G96" s="297">
        <f t="shared" si="16"/>
        <v>0</v>
      </c>
      <c r="H96" s="297">
        <f t="shared" si="16"/>
        <v>0</v>
      </c>
      <c r="J96" s="319"/>
      <c r="K96" s="319"/>
      <c r="L96" s="319"/>
    </row>
    <row r="97" spans="1:12">
      <c r="A97" s="93">
        <f t="shared" si="15"/>
        <v>0</v>
      </c>
      <c r="B97" s="297">
        <f t="shared" si="16"/>
        <v>0</v>
      </c>
      <c r="C97" s="297">
        <f t="shared" si="16"/>
        <v>0</v>
      </c>
      <c r="D97" s="297">
        <f t="shared" si="16"/>
        <v>0</v>
      </c>
      <c r="E97" s="297">
        <f t="shared" si="16"/>
        <v>0</v>
      </c>
      <c r="F97" s="297">
        <f t="shared" si="16"/>
        <v>0</v>
      </c>
      <c r="G97" s="297">
        <f t="shared" si="16"/>
        <v>0</v>
      </c>
      <c r="H97" s="297">
        <f t="shared" si="16"/>
        <v>0</v>
      </c>
      <c r="J97" s="319"/>
      <c r="K97" s="319"/>
      <c r="L97" s="319"/>
    </row>
    <row r="98" spans="1:12">
      <c r="A98" s="93">
        <f t="shared" si="15"/>
        <v>0</v>
      </c>
      <c r="B98" s="297">
        <f t="shared" si="16"/>
        <v>0</v>
      </c>
      <c r="C98" s="297">
        <f t="shared" si="16"/>
        <v>0</v>
      </c>
      <c r="D98" s="297">
        <f t="shared" si="16"/>
        <v>0</v>
      </c>
      <c r="E98" s="297">
        <f t="shared" si="16"/>
        <v>0</v>
      </c>
      <c r="F98" s="297">
        <f t="shared" si="16"/>
        <v>0</v>
      </c>
      <c r="G98" s="297">
        <f t="shared" si="16"/>
        <v>0</v>
      </c>
      <c r="H98" s="297">
        <f t="shared" si="16"/>
        <v>0</v>
      </c>
      <c r="J98" s="319"/>
      <c r="K98" s="319"/>
      <c r="L98" s="319"/>
    </row>
    <row r="99" spans="1:12">
      <c r="A99" s="93">
        <f t="shared" si="15"/>
        <v>0</v>
      </c>
      <c r="B99" s="297">
        <f t="shared" si="16"/>
        <v>0</v>
      </c>
      <c r="C99" s="297">
        <f t="shared" si="16"/>
        <v>0</v>
      </c>
      <c r="D99" s="297">
        <f t="shared" si="16"/>
        <v>0</v>
      </c>
      <c r="E99" s="297">
        <f t="shared" si="16"/>
        <v>0</v>
      </c>
      <c r="F99" s="297">
        <f t="shared" si="16"/>
        <v>0</v>
      </c>
      <c r="G99" s="297">
        <f t="shared" si="16"/>
        <v>0</v>
      </c>
      <c r="H99" s="297">
        <f t="shared" si="16"/>
        <v>0</v>
      </c>
      <c r="J99" s="319"/>
      <c r="K99" s="319"/>
      <c r="L99" s="319"/>
    </row>
    <row r="100" spans="1:12">
      <c r="A100" s="93">
        <f t="shared" si="15"/>
        <v>0</v>
      </c>
      <c r="B100" s="297">
        <f t="shared" si="16"/>
        <v>0</v>
      </c>
      <c r="C100" s="297">
        <f t="shared" si="16"/>
        <v>0</v>
      </c>
      <c r="D100" s="297">
        <f t="shared" si="16"/>
        <v>0</v>
      </c>
      <c r="E100" s="297">
        <f t="shared" si="16"/>
        <v>0</v>
      </c>
      <c r="F100" s="297">
        <f t="shared" si="16"/>
        <v>0</v>
      </c>
      <c r="G100" s="297">
        <f t="shared" si="16"/>
        <v>0</v>
      </c>
      <c r="H100" s="297">
        <f t="shared" si="16"/>
        <v>0</v>
      </c>
      <c r="J100" s="319"/>
      <c r="K100" s="319"/>
      <c r="L100" s="319"/>
    </row>
    <row r="101" spans="1:12">
      <c r="A101" s="93" t="str">
        <f t="shared" si="15"/>
        <v>Onion</v>
      </c>
      <c r="B101" s="297">
        <f t="shared" si="16"/>
        <v>0</v>
      </c>
      <c r="C101" s="297">
        <f t="shared" si="16"/>
        <v>0</v>
      </c>
      <c r="D101" s="297">
        <f t="shared" si="16"/>
        <v>0</v>
      </c>
      <c r="E101" s="297">
        <f t="shared" si="16"/>
        <v>0</v>
      </c>
      <c r="F101" s="297">
        <f t="shared" si="16"/>
        <v>0</v>
      </c>
      <c r="G101" s="297">
        <f t="shared" si="16"/>
        <v>0</v>
      </c>
      <c r="H101" s="297">
        <f t="shared" si="16"/>
        <v>0</v>
      </c>
      <c r="J101" s="319"/>
      <c r="K101" s="319"/>
      <c r="L101" s="319"/>
    </row>
    <row r="102" spans="1:12">
      <c r="A102" s="93" t="str">
        <f t="shared" si="15"/>
        <v>Tomato</v>
      </c>
      <c r="B102" s="297">
        <f t="shared" ref="B102:H109" si="17">B45</f>
        <v>0</v>
      </c>
      <c r="C102" s="297">
        <f t="shared" si="17"/>
        <v>0</v>
      </c>
      <c r="D102" s="297">
        <f t="shared" si="17"/>
        <v>0</v>
      </c>
      <c r="E102" s="297">
        <f t="shared" si="17"/>
        <v>0</v>
      </c>
      <c r="F102" s="297">
        <f t="shared" si="17"/>
        <v>0</v>
      </c>
      <c r="G102" s="297">
        <f t="shared" si="17"/>
        <v>0</v>
      </c>
      <c r="H102" s="297">
        <f t="shared" si="17"/>
        <v>0</v>
      </c>
      <c r="J102" s="319"/>
      <c r="K102" s="319"/>
      <c r="L102" s="319"/>
    </row>
    <row r="103" spans="1:12">
      <c r="A103" s="93" t="str">
        <f t="shared" si="15"/>
        <v>Okra</v>
      </c>
      <c r="B103" s="297">
        <f t="shared" si="17"/>
        <v>0</v>
      </c>
      <c r="C103" s="297">
        <f t="shared" si="17"/>
        <v>0</v>
      </c>
      <c r="D103" s="297">
        <f t="shared" si="17"/>
        <v>0</v>
      </c>
      <c r="E103" s="297">
        <f t="shared" si="17"/>
        <v>0</v>
      </c>
      <c r="F103" s="297">
        <f t="shared" si="17"/>
        <v>0</v>
      </c>
      <c r="G103" s="297">
        <f t="shared" si="17"/>
        <v>0</v>
      </c>
      <c r="H103" s="297">
        <f t="shared" si="17"/>
        <v>0</v>
      </c>
      <c r="J103" s="319"/>
      <c r="K103" s="319"/>
      <c r="L103" s="319"/>
    </row>
    <row r="104" spans="1:12">
      <c r="A104" s="93" t="str">
        <f t="shared" si="15"/>
        <v>Chilli</v>
      </c>
      <c r="B104" s="297">
        <f t="shared" si="17"/>
        <v>0</v>
      </c>
      <c r="C104" s="297">
        <f t="shared" si="17"/>
        <v>0</v>
      </c>
      <c r="D104" s="297">
        <f t="shared" si="17"/>
        <v>0</v>
      </c>
      <c r="E104" s="297">
        <f t="shared" si="17"/>
        <v>0</v>
      </c>
      <c r="F104" s="297">
        <f t="shared" si="17"/>
        <v>0</v>
      </c>
      <c r="G104" s="297">
        <f t="shared" si="17"/>
        <v>0</v>
      </c>
      <c r="H104" s="297">
        <f t="shared" si="17"/>
        <v>0</v>
      </c>
      <c r="J104" s="319"/>
      <c r="K104" s="319"/>
      <c r="L104" s="319"/>
    </row>
    <row r="105" spans="1:12">
      <c r="A105" s="93" t="str">
        <f t="shared" si="15"/>
        <v>Brinjal</v>
      </c>
      <c r="B105" s="297">
        <f t="shared" si="17"/>
        <v>0</v>
      </c>
      <c r="C105" s="297">
        <f t="shared" si="17"/>
        <v>0</v>
      </c>
      <c r="D105" s="297">
        <f t="shared" si="17"/>
        <v>0</v>
      </c>
      <c r="E105" s="297">
        <f t="shared" si="17"/>
        <v>0</v>
      </c>
      <c r="F105" s="297">
        <f t="shared" si="17"/>
        <v>0</v>
      </c>
      <c r="G105" s="297">
        <f t="shared" si="17"/>
        <v>0</v>
      </c>
      <c r="H105" s="297">
        <f t="shared" si="17"/>
        <v>0</v>
      </c>
      <c r="J105" s="319"/>
      <c r="K105" s="319"/>
      <c r="L105" s="319"/>
    </row>
    <row r="106" spans="1:12">
      <c r="A106" s="93">
        <f t="shared" si="15"/>
        <v>0</v>
      </c>
      <c r="B106" s="297">
        <f t="shared" si="17"/>
        <v>0</v>
      </c>
      <c r="C106" s="297">
        <f t="shared" si="17"/>
        <v>0</v>
      </c>
      <c r="D106" s="297">
        <f t="shared" si="17"/>
        <v>0</v>
      </c>
      <c r="E106" s="297">
        <f t="shared" si="17"/>
        <v>0</v>
      </c>
      <c r="F106" s="297">
        <f t="shared" si="17"/>
        <v>0</v>
      </c>
      <c r="G106" s="297">
        <f t="shared" si="17"/>
        <v>0</v>
      </c>
      <c r="H106" s="297">
        <f t="shared" si="17"/>
        <v>0</v>
      </c>
      <c r="J106" s="319"/>
      <c r="K106" s="319"/>
      <c r="L106" s="319"/>
    </row>
    <row r="107" spans="1:12">
      <c r="A107" s="93">
        <f t="shared" si="15"/>
        <v>0</v>
      </c>
      <c r="B107" s="297">
        <f t="shared" si="17"/>
        <v>0</v>
      </c>
      <c r="C107" s="297">
        <f t="shared" si="17"/>
        <v>0</v>
      </c>
      <c r="D107" s="297">
        <f t="shared" si="17"/>
        <v>0</v>
      </c>
      <c r="E107" s="297">
        <f t="shared" si="17"/>
        <v>0</v>
      </c>
      <c r="F107" s="297">
        <f t="shared" si="17"/>
        <v>0</v>
      </c>
      <c r="G107" s="297">
        <f t="shared" si="17"/>
        <v>0</v>
      </c>
      <c r="H107" s="297">
        <f t="shared" si="17"/>
        <v>0</v>
      </c>
      <c r="J107" s="319"/>
      <c r="K107" s="319"/>
      <c r="L107" s="319"/>
    </row>
    <row r="108" spans="1:12">
      <c r="A108" s="93">
        <f t="shared" si="15"/>
        <v>0</v>
      </c>
      <c r="B108" s="297">
        <f t="shared" si="17"/>
        <v>0</v>
      </c>
      <c r="C108" s="297">
        <f t="shared" si="17"/>
        <v>0</v>
      </c>
      <c r="D108" s="297">
        <f t="shared" si="17"/>
        <v>0</v>
      </c>
      <c r="E108" s="297">
        <f t="shared" si="17"/>
        <v>0</v>
      </c>
      <c r="F108" s="297">
        <f t="shared" si="17"/>
        <v>0</v>
      </c>
      <c r="G108" s="297">
        <f t="shared" si="17"/>
        <v>0</v>
      </c>
      <c r="H108" s="297">
        <f t="shared" si="17"/>
        <v>0</v>
      </c>
      <c r="J108" s="319"/>
      <c r="K108" s="319"/>
      <c r="L108" s="319"/>
    </row>
    <row r="109" spans="1:12">
      <c r="A109" s="93">
        <f t="shared" si="15"/>
        <v>0</v>
      </c>
      <c r="B109" s="297">
        <f t="shared" si="17"/>
        <v>0</v>
      </c>
      <c r="C109" s="297">
        <f t="shared" si="17"/>
        <v>0</v>
      </c>
      <c r="D109" s="297">
        <f t="shared" si="17"/>
        <v>0</v>
      </c>
      <c r="E109" s="297">
        <f t="shared" si="17"/>
        <v>0</v>
      </c>
      <c r="F109" s="297">
        <f t="shared" si="17"/>
        <v>0</v>
      </c>
      <c r="G109" s="297">
        <f t="shared" si="17"/>
        <v>0</v>
      </c>
      <c r="H109" s="297">
        <f t="shared" si="17"/>
        <v>0</v>
      </c>
      <c r="J109" s="319"/>
      <c r="K109" s="319"/>
      <c r="L109" s="319"/>
    </row>
    <row r="110" spans="1:12">
      <c r="A110" s="93">
        <f t="shared" ref="A110:A113" si="18">A53</f>
        <v>0</v>
      </c>
      <c r="B110" s="297"/>
      <c r="C110" s="297"/>
      <c r="D110" s="297"/>
      <c r="E110" s="297"/>
      <c r="F110" s="297"/>
      <c r="G110" s="297"/>
      <c r="H110" s="297"/>
      <c r="J110" s="319"/>
      <c r="K110" s="319"/>
      <c r="L110" s="319"/>
    </row>
    <row r="111" spans="1:12">
      <c r="A111" s="93">
        <f t="shared" si="18"/>
        <v>0</v>
      </c>
      <c r="B111" s="297"/>
      <c r="C111" s="297"/>
      <c r="D111" s="297"/>
      <c r="E111" s="297"/>
      <c r="F111" s="297"/>
      <c r="G111" s="297"/>
      <c r="H111" s="297"/>
      <c r="J111" s="319"/>
      <c r="K111" s="319"/>
      <c r="L111" s="319"/>
    </row>
    <row r="112" spans="1:12">
      <c r="A112" s="93">
        <f t="shared" si="18"/>
        <v>0</v>
      </c>
      <c r="B112" s="297"/>
      <c r="C112" s="297"/>
      <c r="D112" s="297"/>
      <c r="E112" s="297"/>
      <c r="F112" s="297"/>
      <c r="G112" s="297"/>
      <c r="H112" s="297"/>
      <c r="J112" s="319"/>
      <c r="K112" s="319"/>
      <c r="L112" s="319"/>
    </row>
    <row r="113" spans="1:12">
      <c r="A113" s="93" t="str">
        <f t="shared" si="18"/>
        <v>Pomegranate</v>
      </c>
      <c r="B113" s="297">
        <f t="shared" ref="B113:H116" si="19">B56</f>
        <v>0</v>
      </c>
      <c r="C113" s="297">
        <f t="shared" si="19"/>
        <v>0</v>
      </c>
      <c r="D113" s="297">
        <f t="shared" si="19"/>
        <v>0</v>
      </c>
      <c r="E113" s="297">
        <f t="shared" si="19"/>
        <v>0</v>
      </c>
      <c r="F113" s="297">
        <f t="shared" si="19"/>
        <v>0</v>
      </c>
      <c r="G113" s="297">
        <f t="shared" si="19"/>
        <v>0</v>
      </c>
      <c r="H113" s="297">
        <f t="shared" si="19"/>
        <v>0</v>
      </c>
      <c r="J113" s="319"/>
      <c r="K113" s="319"/>
      <c r="L113" s="319"/>
    </row>
    <row r="114" spans="1:12">
      <c r="A114" s="93" t="str">
        <f>A57</f>
        <v>Custard Apple</v>
      </c>
      <c r="B114" s="297">
        <f t="shared" si="19"/>
        <v>0</v>
      </c>
      <c r="C114" s="297">
        <f t="shared" si="19"/>
        <v>0</v>
      </c>
      <c r="D114" s="297">
        <f t="shared" si="19"/>
        <v>0</v>
      </c>
      <c r="E114" s="297">
        <f t="shared" si="19"/>
        <v>0</v>
      </c>
      <c r="F114" s="297">
        <f t="shared" si="19"/>
        <v>0</v>
      </c>
      <c r="G114" s="297">
        <f t="shared" si="19"/>
        <v>0</v>
      </c>
      <c r="H114" s="297">
        <f t="shared" si="19"/>
        <v>0</v>
      </c>
      <c r="J114" s="319"/>
      <c r="K114" s="319"/>
      <c r="L114" s="319"/>
    </row>
    <row r="115" spans="1:12">
      <c r="A115" s="93" t="str">
        <f>A58</f>
        <v>Guava</v>
      </c>
      <c r="B115" s="297">
        <f t="shared" si="19"/>
        <v>0</v>
      </c>
      <c r="C115" s="297">
        <f t="shared" si="19"/>
        <v>0</v>
      </c>
      <c r="D115" s="297">
        <f t="shared" si="19"/>
        <v>0</v>
      </c>
      <c r="E115" s="297">
        <f t="shared" si="19"/>
        <v>0</v>
      </c>
      <c r="F115" s="297">
        <f t="shared" si="19"/>
        <v>0</v>
      </c>
      <c r="G115" s="297">
        <f t="shared" si="19"/>
        <v>0</v>
      </c>
      <c r="H115" s="297">
        <f t="shared" si="19"/>
        <v>0</v>
      </c>
      <c r="J115" s="319"/>
      <c r="K115" s="319"/>
      <c r="L115" s="319"/>
    </row>
    <row r="116" spans="1:12">
      <c r="A116" s="93" t="str">
        <f>A59</f>
        <v>Citrus</v>
      </c>
      <c r="B116" s="297">
        <f t="shared" si="19"/>
        <v>0</v>
      </c>
      <c r="C116" s="297">
        <f t="shared" si="19"/>
        <v>0</v>
      </c>
      <c r="D116" s="297">
        <f t="shared" si="19"/>
        <v>0</v>
      </c>
      <c r="E116" s="297">
        <f t="shared" si="19"/>
        <v>0</v>
      </c>
      <c r="F116" s="297">
        <f t="shared" si="19"/>
        <v>0</v>
      </c>
      <c r="G116" s="297">
        <f t="shared" si="19"/>
        <v>0</v>
      </c>
      <c r="H116" s="297">
        <f t="shared" si="19"/>
        <v>0</v>
      </c>
      <c r="J116" s="319"/>
      <c r="K116" s="319"/>
      <c r="L116" s="319"/>
    </row>
    <row r="117" spans="1:12">
      <c r="A117" s="93"/>
      <c r="B117" s="297"/>
      <c r="C117" s="297"/>
      <c r="D117" s="297"/>
      <c r="E117" s="297"/>
      <c r="F117" s="297"/>
      <c r="G117" s="297"/>
      <c r="H117" s="297"/>
      <c r="J117" s="319"/>
      <c r="K117" s="319"/>
      <c r="L117" s="319"/>
    </row>
    <row r="118" spans="1:12">
      <c r="A118" s="93"/>
      <c r="B118" s="297"/>
      <c r="C118" s="297"/>
      <c r="D118" s="297"/>
      <c r="E118" s="297"/>
      <c r="F118" s="297"/>
      <c r="G118" s="297"/>
      <c r="H118" s="297"/>
      <c r="J118" s="319"/>
      <c r="K118" s="319"/>
      <c r="L118" s="319"/>
    </row>
    <row r="119" spans="1:12">
      <c r="A119" s="99" t="s">
        <v>139</v>
      </c>
      <c r="B119" s="93"/>
      <c r="C119" s="93"/>
      <c r="D119" s="93"/>
      <c r="E119" s="93"/>
      <c r="F119" s="93"/>
      <c r="G119" s="93"/>
      <c r="H119" s="93"/>
    </row>
    <row r="120" spans="1:12">
      <c r="A120" s="97" t="str">
        <f t="shared" ref="A120:A141" si="20">A68</f>
        <v>Soybean</v>
      </c>
      <c r="B120" s="298">
        <f>B68-(B68*$G$6)</f>
        <v>4098.1248000000005</v>
      </c>
      <c r="C120" s="298">
        <f t="shared" ref="B120:H129" si="21">C68-(C68*$G$6)</f>
        <v>4610.3903999999993</v>
      </c>
      <c r="D120" s="298">
        <f t="shared" si="21"/>
        <v>5122.6559999999999</v>
      </c>
      <c r="E120" s="298">
        <f t="shared" si="21"/>
        <v>5634.9215999999997</v>
      </c>
      <c r="F120" s="298">
        <f t="shared" si="21"/>
        <v>6147.1872000000003</v>
      </c>
      <c r="G120" s="298">
        <f t="shared" si="21"/>
        <v>6659.4528000000018</v>
      </c>
      <c r="H120" s="298">
        <f t="shared" si="21"/>
        <v>7171.7184000000016</v>
      </c>
    </row>
    <row r="121" spans="1:12">
      <c r="A121" s="97" t="str">
        <f t="shared" si="20"/>
        <v>Red Gram/Tur</v>
      </c>
      <c r="B121" s="298">
        <f t="shared" si="21"/>
        <v>294.94079999999997</v>
      </c>
      <c r="C121" s="298">
        <f t="shared" si="21"/>
        <v>331.80839999999995</v>
      </c>
      <c r="D121" s="298">
        <f t="shared" si="21"/>
        <v>368.67599999999993</v>
      </c>
      <c r="E121" s="298">
        <f t="shared" si="21"/>
        <v>405.54359999999991</v>
      </c>
      <c r="F121" s="298">
        <f t="shared" si="21"/>
        <v>442.41120000000001</v>
      </c>
      <c r="G121" s="298">
        <f t="shared" si="21"/>
        <v>479.27879999999999</v>
      </c>
      <c r="H121" s="298">
        <f t="shared" si="21"/>
        <v>516.14640000000009</v>
      </c>
    </row>
    <row r="122" spans="1:12">
      <c r="A122" s="97" t="str">
        <f t="shared" si="20"/>
        <v>Paddy/Rice</v>
      </c>
      <c r="B122" s="298">
        <f t="shared" si="21"/>
        <v>0</v>
      </c>
      <c r="C122" s="298">
        <f t="shared" si="21"/>
        <v>0</v>
      </c>
      <c r="D122" s="298">
        <f t="shared" si="21"/>
        <v>0</v>
      </c>
      <c r="E122" s="298">
        <f t="shared" si="21"/>
        <v>0</v>
      </c>
      <c r="F122" s="298">
        <f t="shared" si="21"/>
        <v>0</v>
      </c>
      <c r="G122" s="298">
        <f t="shared" si="21"/>
        <v>0</v>
      </c>
      <c r="H122" s="298">
        <f t="shared" si="21"/>
        <v>0</v>
      </c>
    </row>
    <row r="123" spans="1:12">
      <c r="A123" s="97" t="str">
        <f t="shared" si="20"/>
        <v>Green Gram/ Moong</v>
      </c>
      <c r="B123" s="298">
        <f t="shared" si="21"/>
        <v>12.936000000000002</v>
      </c>
      <c r="C123" s="298">
        <f t="shared" si="21"/>
        <v>14.552999999999999</v>
      </c>
      <c r="D123" s="298">
        <f t="shared" si="21"/>
        <v>16.170000000000002</v>
      </c>
      <c r="E123" s="298">
        <f t="shared" si="21"/>
        <v>17.787000000000003</v>
      </c>
      <c r="F123" s="298">
        <f t="shared" si="21"/>
        <v>19.404000000000003</v>
      </c>
      <c r="G123" s="298">
        <f t="shared" si="21"/>
        <v>21.021000000000004</v>
      </c>
      <c r="H123" s="298">
        <f t="shared" si="21"/>
        <v>22.638000000000005</v>
      </c>
    </row>
    <row r="124" spans="1:12">
      <c r="A124" s="97" t="str">
        <f t="shared" si="20"/>
        <v>Maize</v>
      </c>
      <c r="B124" s="298">
        <f t="shared" si="21"/>
        <v>0</v>
      </c>
      <c r="C124" s="298">
        <f t="shared" si="21"/>
        <v>0</v>
      </c>
      <c r="D124" s="298">
        <f t="shared" si="21"/>
        <v>0</v>
      </c>
      <c r="E124" s="298">
        <f t="shared" si="21"/>
        <v>0</v>
      </c>
      <c r="F124" s="298">
        <f t="shared" si="21"/>
        <v>0</v>
      </c>
      <c r="G124" s="298">
        <f t="shared" si="21"/>
        <v>0</v>
      </c>
      <c r="H124" s="298">
        <f t="shared" si="21"/>
        <v>0</v>
      </c>
    </row>
    <row r="125" spans="1:12">
      <c r="A125" s="97" t="str">
        <f t="shared" si="20"/>
        <v>Black Gram/Udid</v>
      </c>
      <c r="B125" s="298">
        <f t="shared" si="21"/>
        <v>0</v>
      </c>
      <c r="C125" s="298">
        <f t="shared" si="21"/>
        <v>0</v>
      </c>
      <c r="D125" s="298">
        <f t="shared" si="21"/>
        <v>0</v>
      </c>
      <c r="E125" s="298">
        <f t="shared" si="21"/>
        <v>0</v>
      </c>
      <c r="F125" s="298">
        <f t="shared" si="21"/>
        <v>0</v>
      </c>
      <c r="G125" s="298">
        <f t="shared" si="21"/>
        <v>0</v>
      </c>
      <c r="H125" s="298">
        <f t="shared" si="21"/>
        <v>0</v>
      </c>
    </row>
    <row r="126" spans="1:12">
      <c r="A126" s="97" t="str">
        <f t="shared" si="20"/>
        <v>Bajra</v>
      </c>
      <c r="B126" s="298">
        <f t="shared" si="21"/>
        <v>0</v>
      </c>
      <c r="C126" s="298">
        <f t="shared" si="21"/>
        <v>0</v>
      </c>
      <c r="D126" s="298">
        <f t="shared" si="21"/>
        <v>0</v>
      </c>
      <c r="E126" s="298">
        <f t="shared" si="21"/>
        <v>0</v>
      </c>
      <c r="F126" s="298">
        <f t="shared" si="21"/>
        <v>0</v>
      </c>
      <c r="G126" s="298">
        <f t="shared" si="21"/>
        <v>0</v>
      </c>
      <c r="H126" s="298">
        <f t="shared" si="21"/>
        <v>0</v>
      </c>
    </row>
    <row r="127" spans="1:12">
      <c r="A127" s="97" t="str">
        <f t="shared" si="20"/>
        <v>Jawar</v>
      </c>
      <c r="B127" s="298">
        <f t="shared" si="21"/>
        <v>7.7616000000000005</v>
      </c>
      <c r="C127" s="298">
        <f t="shared" si="21"/>
        <v>8.7317999999999998</v>
      </c>
      <c r="D127" s="298">
        <f t="shared" si="21"/>
        <v>9.702</v>
      </c>
      <c r="E127" s="298">
        <f t="shared" si="21"/>
        <v>10.6722</v>
      </c>
      <c r="F127" s="298">
        <f t="shared" si="21"/>
        <v>11.642400000000002</v>
      </c>
      <c r="G127" s="298">
        <f t="shared" si="21"/>
        <v>12.612600000000002</v>
      </c>
      <c r="H127" s="298">
        <f t="shared" si="21"/>
        <v>13.582800000000004</v>
      </c>
    </row>
    <row r="128" spans="1:12">
      <c r="A128" s="97" t="str">
        <f t="shared" si="20"/>
        <v>Sunflower</v>
      </c>
      <c r="B128" s="298">
        <f t="shared" si="21"/>
        <v>0</v>
      </c>
      <c r="C128" s="298">
        <f t="shared" si="21"/>
        <v>0</v>
      </c>
      <c r="D128" s="298">
        <f t="shared" si="21"/>
        <v>0</v>
      </c>
      <c r="E128" s="298">
        <f t="shared" si="21"/>
        <v>0</v>
      </c>
      <c r="F128" s="298">
        <f t="shared" si="21"/>
        <v>0</v>
      </c>
      <c r="G128" s="298">
        <f t="shared" si="21"/>
        <v>0</v>
      </c>
      <c r="H128" s="298">
        <f t="shared" si="21"/>
        <v>0</v>
      </c>
    </row>
    <row r="129" spans="1:8">
      <c r="A129" s="97" t="str">
        <f t="shared" si="20"/>
        <v>Wheat</v>
      </c>
      <c r="B129" s="298">
        <f t="shared" si="21"/>
        <v>11.176704000000001</v>
      </c>
      <c r="C129" s="298">
        <f t="shared" si="21"/>
        <v>12.573792000000003</v>
      </c>
      <c r="D129" s="298">
        <f t="shared" si="21"/>
        <v>13.970880000000001</v>
      </c>
      <c r="E129" s="298">
        <f t="shared" si="21"/>
        <v>15.367968000000003</v>
      </c>
      <c r="F129" s="298">
        <f t="shared" si="21"/>
        <v>16.765056000000005</v>
      </c>
      <c r="G129" s="298">
        <f t="shared" si="21"/>
        <v>18.162144000000005</v>
      </c>
      <c r="H129" s="298">
        <f t="shared" si="21"/>
        <v>19.559232000000009</v>
      </c>
    </row>
    <row r="130" spans="1:8">
      <c r="A130" s="97" t="str">
        <f t="shared" si="20"/>
        <v>Bengal Gram/Channa</v>
      </c>
      <c r="B130" s="298">
        <f t="shared" ref="B130:H139" si="22">B78-(B78*$G$6)</f>
        <v>894.13632000000007</v>
      </c>
      <c r="C130" s="298">
        <f t="shared" si="22"/>
        <v>1005.90336</v>
      </c>
      <c r="D130" s="298">
        <f t="shared" si="22"/>
        <v>1117.6704</v>
      </c>
      <c r="E130" s="298">
        <f t="shared" si="22"/>
        <v>1229.4374399999999</v>
      </c>
      <c r="F130" s="298">
        <f t="shared" si="22"/>
        <v>1341.2044800000003</v>
      </c>
      <c r="G130" s="298">
        <f t="shared" si="22"/>
        <v>1452.9715200000003</v>
      </c>
      <c r="H130" s="298">
        <f t="shared" si="22"/>
        <v>1564.7385600000005</v>
      </c>
    </row>
    <row r="131" spans="1:8">
      <c r="A131" s="97" t="str">
        <f t="shared" si="20"/>
        <v>Jawar</v>
      </c>
      <c r="B131" s="298">
        <f t="shared" si="22"/>
        <v>41.291712000000004</v>
      </c>
      <c r="C131" s="298">
        <f t="shared" si="22"/>
        <v>46.453176000000013</v>
      </c>
      <c r="D131" s="298">
        <f t="shared" si="22"/>
        <v>51.614640000000009</v>
      </c>
      <c r="E131" s="298">
        <f t="shared" si="22"/>
        <v>56.776104000000011</v>
      </c>
      <c r="F131" s="298">
        <f t="shared" si="22"/>
        <v>61.93756800000002</v>
      </c>
      <c r="G131" s="298">
        <f t="shared" si="22"/>
        <v>67.099032000000022</v>
      </c>
      <c r="H131" s="298">
        <f t="shared" si="22"/>
        <v>72.260496000000018</v>
      </c>
    </row>
    <row r="132" spans="1:8">
      <c r="A132" s="97" t="str">
        <f t="shared" si="20"/>
        <v>Maize</v>
      </c>
      <c r="B132" s="298">
        <f t="shared" si="22"/>
        <v>0</v>
      </c>
      <c r="C132" s="298">
        <f t="shared" si="22"/>
        <v>0</v>
      </c>
      <c r="D132" s="298">
        <f t="shared" si="22"/>
        <v>0</v>
      </c>
      <c r="E132" s="298">
        <f t="shared" si="22"/>
        <v>0</v>
      </c>
      <c r="F132" s="298">
        <f t="shared" si="22"/>
        <v>0</v>
      </c>
      <c r="G132" s="298">
        <f t="shared" si="22"/>
        <v>0</v>
      </c>
      <c r="H132" s="298">
        <f t="shared" si="22"/>
        <v>0</v>
      </c>
    </row>
    <row r="133" spans="1:8">
      <c r="A133" s="97" t="str">
        <f t="shared" si="20"/>
        <v>Safflower</v>
      </c>
      <c r="B133" s="298">
        <f t="shared" si="22"/>
        <v>4.6569599999999998</v>
      </c>
      <c r="C133" s="298">
        <f t="shared" si="22"/>
        <v>5.2390800000000004</v>
      </c>
      <c r="D133" s="298">
        <f t="shared" si="22"/>
        <v>5.8212000000000002</v>
      </c>
      <c r="E133" s="298">
        <f t="shared" si="22"/>
        <v>6.4033200000000008</v>
      </c>
      <c r="F133" s="298">
        <f t="shared" si="22"/>
        <v>6.9854400000000014</v>
      </c>
      <c r="G133" s="298">
        <f t="shared" si="22"/>
        <v>7.5675600000000021</v>
      </c>
      <c r="H133" s="298">
        <f t="shared" si="22"/>
        <v>8.1496800000000018</v>
      </c>
    </row>
    <row r="134" spans="1:8">
      <c r="A134" s="97">
        <f t="shared" si="20"/>
        <v>0</v>
      </c>
      <c r="B134" s="298">
        <f t="shared" si="22"/>
        <v>0</v>
      </c>
      <c r="C134" s="298">
        <f t="shared" si="22"/>
        <v>0</v>
      </c>
      <c r="D134" s="298">
        <f t="shared" si="22"/>
        <v>0</v>
      </c>
      <c r="E134" s="298">
        <f t="shared" si="22"/>
        <v>0</v>
      </c>
      <c r="F134" s="298">
        <f t="shared" si="22"/>
        <v>0</v>
      </c>
      <c r="G134" s="298">
        <f t="shared" si="22"/>
        <v>0</v>
      </c>
      <c r="H134" s="298">
        <f t="shared" si="22"/>
        <v>0</v>
      </c>
    </row>
    <row r="135" spans="1:8">
      <c r="A135" s="97">
        <f t="shared" si="20"/>
        <v>0</v>
      </c>
      <c r="B135" s="298">
        <f t="shared" si="22"/>
        <v>0</v>
      </c>
      <c r="C135" s="298">
        <f t="shared" si="22"/>
        <v>0</v>
      </c>
      <c r="D135" s="298">
        <f t="shared" si="22"/>
        <v>0</v>
      </c>
      <c r="E135" s="298">
        <f t="shared" si="22"/>
        <v>0</v>
      </c>
      <c r="F135" s="298">
        <f t="shared" si="22"/>
        <v>0</v>
      </c>
      <c r="G135" s="298">
        <f t="shared" si="22"/>
        <v>0</v>
      </c>
      <c r="H135" s="298">
        <f t="shared" si="22"/>
        <v>0</v>
      </c>
    </row>
    <row r="136" spans="1:8">
      <c r="A136" s="97">
        <f t="shared" si="20"/>
        <v>0</v>
      </c>
      <c r="B136" s="298">
        <f t="shared" si="22"/>
        <v>0</v>
      </c>
      <c r="C136" s="298">
        <f t="shared" si="22"/>
        <v>0</v>
      </c>
      <c r="D136" s="298">
        <f t="shared" si="22"/>
        <v>0</v>
      </c>
      <c r="E136" s="298">
        <f t="shared" si="22"/>
        <v>0</v>
      </c>
      <c r="F136" s="298">
        <f t="shared" si="22"/>
        <v>0</v>
      </c>
      <c r="G136" s="298">
        <f t="shared" si="22"/>
        <v>0</v>
      </c>
      <c r="H136" s="298">
        <f t="shared" si="22"/>
        <v>0</v>
      </c>
    </row>
    <row r="137" spans="1:8">
      <c r="A137" s="97" t="str">
        <f t="shared" si="20"/>
        <v>Groundnut</v>
      </c>
      <c r="B137" s="298">
        <f t="shared" si="22"/>
        <v>0</v>
      </c>
      <c r="C137" s="298">
        <f t="shared" si="22"/>
        <v>0</v>
      </c>
      <c r="D137" s="298">
        <f t="shared" si="22"/>
        <v>0</v>
      </c>
      <c r="E137" s="298">
        <f t="shared" si="22"/>
        <v>0</v>
      </c>
      <c r="F137" s="298">
        <f t="shared" si="22"/>
        <v>0</v>
      </c>
      <c r="G137" s="298">
        <f t="shared" si="22"/>
        <v>0</v>
      </c>
      <c r="H137" s="298">
        <f t="shared" si="22"/>
        <v>0</v>
      </c>
    </row>
    <row r="138" spans="1:8">
      <c r="A138" s="97">
        <f t="shared" si="20"/>
        <v>0</v>
      </c>
      <c r="B138" s="298">
        <f t="shared" si="22"/>
        <v>0</v>
      </c>
      <c r="C138" s="298">
        <f t="shared" si="22"/>
        <v>0</v>
      </c>
      <c r="D138" s="298">
        <f t="shared" si="22"/>
        <v>0</v>
      </c>
      <c r="E138" s="298">
        <f t="shared" si="22"/>
        <v>0</v>
      </c>
      <c r="F138" s="298">
        <f t="shared" si="22"/>
        <v>0</v>
      </c>
      <c r="G138" s="298">
        <f t="shared" si="22"/>
        <v>0</v>
      </c>
      <c r="H138" s="298">
        <f t="shared" si="22"/>
        <v>0</v>
      </c>
    </row>
    <row r="139" spans="1:8">
      <c r="A139" s="97">
        <f t="shared" si="20"/>
        <v>0</v>
      </c>
      <c r="B139" s="298">
        <f t="shared" si="22"/>
        <v>0</v>
      </c>
      <c r="C139" s="298">
        <f t="shared" si="22"/>
        <v>0</v>
      </c>
      <c r="D139" s="298">
        <f t="shared" si="22"/>
        <v>0</v>
      </c>
      <c r="E139" s="298">
        <f t="shared" si="22"/>
        <v>0</v>
      </c>
      <c r="F139" s="298">
        <f t="shared" si="22"/>
        <v>0</v>
      </c>
      <c r="G139" s="298">
        <f t="shared" si="22"/>
        <v>0</v>
      </c>
      <c r="H139" s="298">
        <f t="shared" si="22"/>
        <v>0</v>
      </c>
    </row>
    <row r="140" spans="1:8">
      <c r="A140" s="97">
        <f t="shared" si="20"/>
        <v>0</v>
      </c>
      <c r="B140" s="298">
        <f t="shared" ref="B140:H141" si="23">B88-(B88*$G$6)</f>
        <v>0</v>
      </c>
      <c r="C140" s="298">
        <f t="shared" si="23"/>
        <v>0</v>
      </c>
      <c r="D140" s="298">
        <f t="shared" si="23"/>
        <v>0</v>
      </c>
      <c r="E140" s="298">
        <f t="shared" si="23"/>
        <v>0</v>
      </c>
      <c r="F140" s="298">
        <f t="shared" si="23"/>
        <v>0</v>
      </c>
      <c r="G140" s="298">
        <f t="shared" si="23"/>
        <v>0</v>
      </c>
      <c r="H140" s="298">
        <f t="shared" si="23"/>
        <v>0</v>
      </c>
    </row>
    <row r="141" spans="1:8">
      <c r="A141" s="97">
        <f t="shared" si="20"/>
        <v>0</v>
      </c>
      <c r="B141" s="298">
        <f t="shared" si="23"/>
        <v>0</v>
      </c>
      <c r="C141" s="298">
        <f t="shared" si="23"/>
        <v>0</v>
      </c>
      <c r="D141" s="298">
        <f t="shared" si="23"/>
        <v>0</v>
      </c>
      <c r="E141" s="298">
        <f t="shared" si="23"/>
        <v>0</v>
      </c>
      <c r="F141" s="298">
        <f t="shared" si="23"/>
        <v>0</v>
      </c>
      <c r="G141" s="298">
        <f t="shared" si="23"/>
        <v>0</v>
      </c>
      <c r="H141" s="298">
        <f t="shared" si="23"/>
        <v>0</v>
      </c>
    </row>
    <row r="142" spans="1:8">
      <c r="A142" s="97"/>
      <c r="B142" s="298"/>
      <c r="C142" s="298"/>
      <c r="D142" s="298"/>
      <c r="E142" s="298"/>
      <c r="F142" s="298"/>
      <c r="G142" s="298"/>
      <c r="H142" s="298"/>
    </row>
    <row r="143" spans="1:8">
      <c r="A143" s="99" t="str">
        <f t="shared" ref="A143:A161" si="24">A91</f>
        <v>Fruit  &amp; Vegetables Crop Production Details</v>
      </c>
      <c r="B143" s="298"/>
      <c r="C143" s="298"/>
      <c r="D143" s="298"/>
      <c r="E143" s="298"/>
      <c r="F143" s="298"/>
      <c r="G143" s="298"/>
      <c r="H143" s="298"/>
    </row>
    <row r="144" spans="1:8">
      <c r="A144" s="97" t="str">
        <f t="shared" si="24"/>
        <v>Onion</v>
      </c>
      <c r="B144" s="298">
        <f t="shared" ref="B144:H153" si="25">B92-(B92*$G$7)</f>
        <v>0</v>
      </c>
      <c r="C144" s="298">
        <f t="shared" si="25"/>
        <v>0</v>
      </c>
      <c r="D144" s="298">
        <f t="shared" si="25"/>
        <v>0</v>
      </c>
      <c r="E144" s="298">
        <f t="shared" si="25"/>
        <v>0</v>
      </c>
      <c r="F144" s="298">
        <f t="shared" si="25"/>
        <v>0</v>
      </c>
      <c r="G144" s="298">
        <f t="shared" si="25"/>
        <v>0</v>
      </c>
      <c r="H144" s="298">
        <f t="shared" si="25"/>
        <v>0</v>
      </c>
    </row>
    <row r="145" spans="1:8">
      <c r="A145" s="97" t="str">
        <f t="shared" si="24"/>
        <v>Tomato</v>
      </c>
      <c r="B145" s="298">
        <f t="shared" si="25"/>
        <v>0</v>
      </c>
      <c r="C145" s="298">
        <f t="shared" si="25"/>
        <v>0</v>
      </c>
      <c r="D145" s="298">
        <f t="shared" si="25"/>
        <v>0</v>
      </c>
      <c r="E145" s="298">
        <f t="shared" si="25"/>
        <v>0</v>
      </c>
      <c r="F145" s="298">
        <f t="shared" si="25"/>
        <v>0</v>
      </c>
      <c r="G145" s="298">
        <f t="shared" si="25"/>
        <v>0</v>
      </c>
      <c r="H145" s="298">
        <f t="shared" si="25"/>
        <v>0</v>
      </c>
    </row>
    <row r="146" spans="1:8">
      <c r="A146" s="97" t="str">
        <f t="shared" si="24"/>
        <v>Okra</v>
      </c>
      <c r="B146" s="298">
        <f t="shared" si="25"/>
        <v>0</v>
      </c>
      <c r="C146" s="298">
        <f t="shared" si="25"/>
        <v>0</v>
      </c>
      <c r="D146" s="298">
        <f t="shared" si="25"/>
        <v>0</v>
      </c>
      <c r="E146" s="298">
        <f t="shared" si="25"/>
        <v>0</v>
      </c>
      <c r="F146" s="298">
        <f t="shared" si="25"/>
        <v>0</v>
      </c>
      <c r="G146" s="298">
        <f t="shared" si="25"/>
        <v>0</v>
      </c>
      <c r="H146" s="298">
        <f t="shared" si="25"/>
        <v>0</v>
      </c>
    </row>
    <row r="147" spans="1:8">
      <c r="A147" s="97" t="str">
        <f t="shared" si="24"/>
        <v>Chilli</v>
      </c>
      <c r="B147" s="298">
        <f t="shared" si="25"/>
        <v>0</v>
      </c>
      <c r="C147" s="298">
        <f t="shared" si="25"/>
        <v>0</v>
      </c>
      <c r="D147" s="298">
        <f t="shared" si="25"/>
        <v>0</v>
      </c>
      <c r="E147" s="298">
        <f t="shared" si="25"/>
        <v>0</v>
      </c>
      <c r="F147" s="298">
        <f t="shared" si="25"/>
        <v>0</v>
      </c>
      <c r="G147" s="298">
        <f t="shared" si="25"/>
        <v>0</v>
      </c>
      <c r="H147" s="298">
        <f t="shared" si="25"/>
        <v>0</v>
      </c>
    </row>
    <row r="148" spans="1:8">
      <c r="A148" s="97" t="str">
        <f t="shared" si="24"/>
        <v>Potato</v>
      </c>
      <c r="B148" s="298">
        <f t="shared" si="25"/>
        <v>0</v>
      </c>
      <c r="C148" s="298">
        <f t="shared" si="25"/>
        <v>0</v>
      </c>
      <c r="D148" s="298">
        <f t="shared" si="25"/>
        <v>0</v>
      </c>
      <c r="E148" s="298">
        <f t="shared" si="25"/>
        <v>0</v>
      </c>
      <c r="F148" s="298">
        <f t="shared" si="25"/>
        <v>0</v>
      </c>
      <c r="G148" s="298">
        <f t="shared" si="25"/>
        <v>0</v>
      </c>
      <c r="H148" s="298">
        <f t="shared" si="25"/>
        <v>0</v>
      </c>
    </row>
    <row r="149" spans="1:8">
      <c r="A149" s="97">
        <f t="shared" si="24"/>
        <v>0</v>
      </c>
      <c r="B149" s="298">
        <f t="shared" si="25"/>
        <v>0</v>
      </c>
      <c r="C149" s="298">
        <f t="shared" si="25"/>
        <v>0</v>
      </c>
      <c r="D149" s="298">
        <f t="shared" si="25"/>
        <v>0</v>
      </c>
      <c r="E149" s="298">
        <f t="shared" si="25"/>
        <v>0</v>
      </c>
      <c r="F149" s="298">
        <f t="shared" si="25"/>
        <v>0</v>
      </c>
      <c r="G149" s="298">
        <f t="shared" si="25"/>
        <v>0</v>
      </c>
      <c r="H149" s="298">
        <f t="shared" si="25"/>
        <v>0</v>
      </c>
    </row>
    <row r="150" spans="1:8">
      <c r="A150" s="97">
        <f t="shared" si="24"/>
        <v>0</v>
      </c>
      <c r="B150" s="298">
        <f t="shared" si="25"/>
        <v>0</v>
      </c>
      <c r="C150" s="298">
        <f t="shared" si="25"/>
        <v>0</v>
      </c>
      <c r="D150" s="298">
        <f t="shared" si="25"/>
        <v>0</v>
      </c>
      <c r="E150" s="298">
        <f t="shared" si="25"/>
        <v>0</v>
      </c>
      <c r="F150" s="298">
        <f t="shared" si="25"/>
        <v>0</v>
      </c>
      <c r="G150" s="298">
        <f t="shared" si="25"/>
        <v>0</v>
      </c>
      <c r="H150" s="298">
        <f t="shared" si="25"/>
        <v>0</v>
      </c>
    </row>
    <row r="151" spans="1:8">
      <c r="A151" s="97">
        <f t="shared" si="24"/>
        <v>0</v>
      </c>
      <c r="B151" s="298">
        <f t="shared" si="25"/>
        <v>0</v>
      </c>
      <c r="C151" s="298">
        <f t="shared" si="25"/>
        <v>0</v>
      </c>
      <c r="D151" s="298">
        <f t="shared" si="25"/>
        <v>0</v>
      </c>
      <c r="E151" s="298">
        <f t="shared" si="25"/>
        <v>0</v>
      </c>
      <c r="F151" s="298">
        <f t="shared" si="25"/>
        <v>0</v>
      </c>
      <c r="G151" s="298">
        <f t="shared" si="25"/>
        <v>0</v>
      </c>
      <c r="H151" s="298">
        <f t="shared" si="25"/>
        <v>0</v>
      </c>
    </row>
    <row r="152" spans="1:8">
      <c r="A152" s="97">
        <f t="shared" si="24"/>
        <v>0</v>
      </c>
      <c r="B152" s="298">
        <f t="shared" si="25"/>
        <v>0</v>
      </c>
      <c r="C152" s="298">
        <f t="shared" si="25"/>
        <v>0</v>
      </c>
      <c r="D152" s="298">
        <f t="shared" si="25"/>
        <v>0</v>
      </c>
      <c r="E152" s="298">
        <f t="shared" si="25"/>
        <v>0</v>
      </c>
      <c r="F152" s="298">
        <f t="shared" si="25"/>
        <v>0</v>
      </c>
      <c r="G152" s="298">
        <f t="shared" si="25"/>
        <v>0</v>
      </c>
      <c r="H152" s="298">
        <f t="shared" si="25"/>
        <v>0</v>
      </c>
    </row>
    <row r="153" spans="1:8">
      <c r="A153" s="97" t="str">
        <f t="shared" si="24"/>
        <v>Onion</v>
      </c>
      <c r="B153" s="298">
        <f t="shared" si="25"/>
        <v>0</v>
      </c>
      <c r="C153" s="298">
        <f t="shared" si="25"/>
        <v>0</v>
      </c>
      <c r="D153" s="298">
        <f t="shared" si="25"/>
        <v>0</v>
      </c>
      <c r="E153" s="298">
        <f t="shared" si="25"/>
        <v>0</v>
      </c>
      <c r="F153" s="298">
        <f t="shared" si="25"/>
        <v>0</v>
      </c>
      <c r="G153" s="298">
        <f t="shared" si="25"/>
        <v>0</v>
      </c>
      <c r="H153" s="298">
        <f t="shared" si="25"/>
        <v>0</v>
      </c>
    </row>
    <row r="154" spans="1:8">
      <c r="A154" s="97" t="str">
        <f t="shared" si="24"/>
        <v>Tomato</v>
      </c>
      <c r="B154" s="298">
        <f t="shared" ref="B154:H161" si="26">B102-(B102*$G$7)</f>
        <v>0</v>
      </c>
      <c r="C154" s="298">
        <f t="shared" si="26"/>
        <v>0</v>
      </c>
      <c r="D154" s="298">
        <f t="shared" si="26"/>
        <v>0</v>
      </c>
      <c r="E154" s="298">
        <f t="shared" si="26"/>
        <v>0</v>
      </c>
      <c r="F154" s="298">
        <f t="shared" si="26"/>
        <v>0</v>
      </c>
      <c r="G154" s="298">
        <f t="shared" si="26"/>
        <v>0</v>
      </c>
      <c r="H154" s="298">
        <f t="shared" si="26"/>
        <v>0</v>
      </c>
    </row>
    <row r="155" spans="1:8">
      <c r="A155" s="97" t="str">
        <f t="shared" si="24"/>
        <v>Okra</v>
      </c>
      <c r="B155" s="298">
        <f t="shared" si="26"/>
        <v>0</v>
      </c>
      <c r="C155" s="298">
        <f t="shared" si="26"/>
        <v>0</v>
      </c>
      <c r="D155" s="298">
        <f t="shared" si="26"/>
        <v>0</v>
      </c>
      <c r="E155" s="298">
        <f t="shared" si="26"/>
        <v>0</v>
      </c>
      <c r="F155" s="298">
        <f t="shared" si="26"/>
        <v>0</v>
      </c>
      <c r="G155" s="298">
        <f t="shared" si="26"/>
        <v>0</v>
      </c>
      <c r="H155" s="298">
        <f t="shared" si="26"/>
        <v>0</v>
      </c>
    </row>
    <row r="156" spans="1:8">
      <c r="A156" s="97" t="str">
        <f t="shared" si="24"/>
        <v>Chilli</v>
      </c>
      <c r="B156" s="298">
        <f t="shared" si="26"/>
        <v>0</v>
      </c>
      <c r="C156" s="298">
        <f t="shared" si="26"/>
        <v>0</v>
      </c>
      <c r="D156" s="298">
        <f t="shared" si="26"/>
        <v>0</v>
      </c>
      <c r="E156" s="298">
        <f t="shared" si="26"/>
        <v>0</v>
      </c>
      <c r="F156" s="298">
        <f t="shared" si="26"/>
        <v>0</v>
      </c>
      <c r="G156" s="298">
        <f t="shared" si="26"/>
        <v>0</v>
      </c>
      <c r="H156" s="298">
        <f t="shared" si="26"/>
        <v>0</v>
      </c>
    </row>
    <row r="157" spans="1:8">
      <c r="A157" s="97" t="str">
        <f t="shared" si="24"/>
        <v>Brinjal</v>
      </c>
      <c r="B157" s="298">
        <f t="shared" si="26"/>
        <v>0</v>
      </c>
      <c r="C157" s="298">
        <f t="shared" si="26"/>
        <v>0</v>
      </c>
      <c r="D157" s="298">
        <f t="shared" si="26"/>
        <v>0</v>
      </c>
      <c r="E157" s="298">
        <f t="shared" si="26"/>
        <v>0</v>
      </c>
      <c r="F157" s="298">
        <f t="shared" si="26"/>
        <v>0</v>
      </c>
      <c r="G157" s="298">
        <f t="shared" si="26"/>
        <v>0</v>
      </c>
      <c r="H157" s="298">
        <f t="shared" si="26"/>
        <v>0</v>
      </c>
    </row>
    <row r="158" spans="1:8">
      <c r="A158" s="97">
        <f t="shared" si="24"/>
        <v>0</v>
      </c>
      <c r="B158" s="298">
        <f t="shared" si="26"/>
        <v>0</v>
      </c>
      <c r="C158" s="298">
        <f t="shared" si="26"/>
        <v>0</v>
      </c>
      <c r="D158" s="298">
        <f t="shared" si="26"/>
        <v>0</v>
      </c>
      <c r="E158" s="298">
        <f t="shared" si="26"/>
        <v>0</v>
      </c>
      <c r="F158" s="298">
        <f t="shared" si="26"/>
        <v>0</v>
      </c>
      <c r="G158" s="298">
        <f t="shared" si="26"/>
        <v>0</v>
      </c>
      <c r="H158" s="298">
        <f t="shared" si="26"/>
        <v>0</v>
      </c>
    </row>
    <row r="159" spans="1:8">
      <c r="A159" s="97">
        <f t="shared" si="24"/>
        <v>0</v>
      </c>
      <c r="B159" s="298">
        <f t="shared" si="26"/>
        <v>0</v>
      </c>
      <c r="C159" s="298">
        <f t="shared" si="26"/>
        <v>0</v>
      </c>
      <c r="D159" s="298">
        <f t="shared" si="26"/>
        <v>0</v>
      </c>
      <c r="E159" s="298">
        <f t="shared" si="26"/>
        <v>0</v>
      </c>
      <c r="F159" s="298">
        <f t="shared" si="26"/>
        <v>0</v>
      </c>
      <c r="G159" s="298">
        <f t="shared" si="26"/>
        <v>0</v>
      </c>
      <c r="H159" s="298">
        <f t="shared" si="26"/>
        <v>0</v>
      </c>
    </row>
    <row r="160" spans="1:8">
      <c r="A160" s="97">
        <f t="shared" si="24"/>
        <v>0</v>
      </c>
      <c r="B160" s="298">
        <f t="shared" si="26"/>
        <v>0</v>
      </c>
      <c r="C160" s="298">
        <f t="shared" si="26"/>
        <v>0</v>
      </c>
      <c r="D160" s="298">
        <f t="shared" si="26"/>
        <v>0</v>
      </c>
      <c r="E160" s="298">
        <f t="shared" si="26"/>
        <v>0</v>
      </c>
      <c r="F160" s="298">
        <f t="shared" si="26"/>
        <v>0</v>
      </c>
      <c r="G160" s="298">
        <f t="shared" si="26"/>
        <v>0</v>
      </c>
      <c r="H160" s="298">
        <f t="shared" si="26"/>
        <v>0</v>
      </c>
    </row>
    <row r="161" spans="1:20">
      <c r="A161" s="97">
        <f t="shared" si="24"/>
        <v>0</v>
      </c>
      <c r="B161" s="298">
        <f t="shared" si="26"/>
        <v>0</v>
      </c>
      <c r="C161" s="298">
        <f t="shared" si="26"/>
        <v>0</v>
      </c>
      <c r="D161" s="298">
        <f t="shared" si="26"/>
        <v>0</v>
      </c>
      <c r="E161" s="298">
        <f t="shared" si="26"/>
        <v>0</v>
      </c>
      <c r="F161" s="298">
        <f t="shared" si="26"/>
        <v>0</v>
      </c>
      <c r="G161" s="298">
        <f t="shared" si="26"/>
        <v>0</v>
      </c>
      <c r="H161" s="298">
        <f t="shared" si="26"/>
        <v>0</v>
      </c>
    </row>
    <row r="162" spans="1:20">
      <c r="A162" s="97">
        <f t="shared" ref="A162:A165" si="27">A110</f>
        <v>0</v>
      </c>
      <c r="B162" s="298">
        <f t="shared" ref="B162:H162" si="28">B110-(B110*$G$7)</f>
        <v>0</v>
      </c>
      <c r="C162" s="298">
        <f t="shared" si="28"/>
        <v>0</v>
      </c>
      <c r="D162" s="298">
        <f t="shared" si="28"/>
        <v>0</v>
      </c>
      <c r="E162" s="298">
        <f t="shared" si="28"/>
        <v>0</v>
      </c>
      <c r="F162" s="298">
        <f t="shared" si="28"/>
        <v>0</v>
      </c>
      <c r="G162" s="298">
        <f t="shared" si="28"/>
        <v>0</v>
      </c>
      <c r="H162" s="298">
        <f t="shared" si="28"/>
        <v>0</v>
      </c>
    </row>
    <row r="163" spans="1:20">
      <c r="A163" s="97">
        <f t="shared" si="27"/>
        <v>0</v>
      </c>
      <c r="B163" s="298">
        <f t="shared" ref="B163:H163" si="29">B111-(B111*$G$7)</f>
        <v>0</v>
      </c>
      <c r="C163" s="298">
        <f t="shared" si="29"/>
        <v>0</v>
      </c>
      <c r="D163" s="298">
        <f t="shared" si="29"/>
        <v>0</v>
      </c>
      <c r="E163" s="298">
        <f t="shared" si="29"/>
        <v>0</v>
      </c>
      <c r="F163" s="298">
        <f t="shared" si="29"/>
        <v>0</v>
      </c>
      <c r="G163" s="298">
        <f t="shared" si="29"/>
        <v>0</v>
      </c>
      <c r="H163" s="298">
        <f t="shared" si="29"/>
        <v>0</v>
      </c>
    </row>
    <row r="164" spans="1:20">
      <c r="A164" s="97">
        <f t="shared" si="27"/>
        <v>0</v>
      </c>
      <c r="B164" s="298">
        <f t="shared" ref="B164:H165" si="30">B112-(B112*$G$7)</f>
        <v>0</v>
      </c>
      <c r="C164" s="298">
        <f t="shared" si="30"/>
        <v>0</v>
      </c>
      <c r="D164" s="298">
        <f t="shared" si="30"/>
        <v>0</v>
      </c>
      <c r="E164" s="298">
        <f t="shared" si="30"/>
        <v>0</v>
      </c>
      <c r="F164" s="298">
        <f t="shared" si="30"/>
        <v>0</v>
      </c>
      <c r="G164" s="298">
        <f t="shared" si="30"/>
        <v>0</v>
      </c>
      <c r="H164" s="298">
        <f t="shared" si="30"/>
        <v>0</v>
      </c>
    </row>
    <row r="165" spans="1:20">
      <c r="A165" s="97" t="str">
        <f t="shared" si="27"/>
        <v>Pomegranate</v>
      </c>
      <c r="B165" s="298">
        <f t="shared" si="30"/>
        <v>0</v>
      </c>
      <c r="C165" s="298">
        <f t="shared" ref="C165:H168" si="31">C113-(C113*$G$7)</f>
        <v>0</v>
      </c>
      <c r="D165" s="298">
        <f t="shared" si="31"/>
        <v>0</v>
      </c>
      <c r="E165" s="298">
        <f t="shared" si="31"/>
        <v>0</v>
      </c>
      <c r="F165" s="298">
        <f t="shared" si="31"/>
        <v>0</v>
      </c>
      <c r="G165" s="298">
        <f t="shared" si="31"/>
        <v>0</v>
      </c>
      <c r="H165" s="298">
        <f t="shared" si="31"/>
        <v>0</v>
      </c>
    </row>
    <row r="166" spans="1:20">
      <c r="A166" s="97" t="str">
        <f>A114</f>
        <v>Custard Apple</v>
      </c>
      <c r="B166" s="298">
        <f>B114-(B114*$G$7)</f>
        <v>0</v>
      </c>
      <c r="C166" s="298">
        <f t="shared" si="31"/>
        <v>0</v>
      </c>
      <c r="D166" s="298">
        <f t="shared" si="31"/>
        <v>0</v>
      </c>
      <c r="E166" s="298">
        <f t="shared" si="31"/>
        <v>0</v>
      </c>
      <c r="F166" s="298">
        <f t="shared" si="31"/>
        <v>0</v>
      </c>
      <c r="G166" s="298">
        <f t="shared" si="31"/>
        <v>0</v>
      </c>
      <c r="H166" s="298">
        <f t="shared" si="31"/>
        <v>0</v>
      </c>
    </row>
    <row r="167" spans="1:20">
      <c r="A167" s="97" t="str">
        <f>A115</f>
        <v>Guava</v>
      </c>
      <c r="B167" s="298">
        <f>B115-(B115*$G$7)</f>
        <v>0</v>
      </c>
      <c r="C167" s="298">
        <f t="shared" si="31"/>
        <v>0</v>
      </c>
      <c r="D167" s="298">
        <f t="shared" si="31"/>
        <v>0</v>
      </c>
      <c r="E167" s="298">
        <f t="shared" si="31"/>
        <v>0</v>
      </c>
      <c r="F167" s="298">
        <f t="shared" si="31"/>
        <v>0</v>
      </c>
      <c r="G167" s="298">
        <f t="shared" si="31"/>
        <v>0</v>
      </c>
      <c r="H167" s="298">
        <f t="shared" si="31"/>
        <v>0</v>
      </c>
    </row>
    <row r="168" spans="1:20">
      <c r="A168" s="97" t="str">
        <f>A116</f>
        <v>Citrus</v>
      </c>
      <c r="B168" s="298">
        <f>B116-(B116*$G$7)</f>
        <v>0</v>
      </c>
      <c r="C168" s="298">
        <f t="shared" si="31"/>
        <v>0</v>
      </c>
      <c r="D168" s="298">
        <f t="shared" si="31"/>
        <v>0</v>
      </c>
      <c r="E168" s="298">
        <f t="shared" si="31"/>
        <v>0</v>
      </c>
      <c r="F168" s="298">
        <f t="shared" si="31"/>
        <v>0</v>
      </c>
      <c r="G168" s="298">
        <f t="shared" si="31"/>
        <v>0</v>
      </c>
      <c r="H168" s="298">
        <f t="shared" si="31"/>
        <v>0</v>
      </c>
    </row>
    <row r="169" spans="1:20">
      <c r="A169" s="184"/>
    </row>
    <row r="170" spans="1:20" ht="17.399999999999999">
      <c r="A170" s="428" t="s">
        <v>588</v>
      </c>
      <c r="B170" s="428"/>
      <c r="C170" s="428"/>
      <c r="D170" s="428"/>
      <c r="E170" s="428"/>
      <c r="F170" s="428"/>
      <c r="G170" s="428"/>
      <c r="H170" s="428"/>
      <c r="I170" s="428"/>
      <c r="J170" s="428"/>
    </row>
    <row r="171" spans="1:20">
      <c r="A171" s="15"/>
      <c r="B171" s="15"/>
      <c r="C171" s="15"/>
      <c r="D171" s="15"/>
      <c r="E171" s="15"/>
      <c r="F171" s="15"/>
      <c r="G171" s="15"/>
      <c r="H171" s="15"/>
    </row>
    <row r="172" spans="1:20">
      <c r="A172" s="194"/>
      <c r="B172" s="194"/>
      <c r="C172" s="194"/>
      <c r="D172" s="195">
        <v>1</v>
      </c>
      <c r="E172" s="196">
        <f>(D172*5%)+D172</f>
        <v>1.05</v>
      </c>
      <c r="F172" s="196">
        <f t="shared" ref="F172:J172" si="32">(E172*5%)+E172</f>
        <v>1.1025</v>
      </c>
      <c r="G172" s="196">
        <f t="shared" si="32"/>
        <v>1.1576250000000001</v>
      </c>
      <c r="H172" s="196">
        <f t="shared" si="32"/>
        <v>1.2155062500000002</v>
      </c>
      <c r="I172" s="196">
        <f t="shared" si="32"/>
        <v>1.2762815625000004</v>
      </c>
      <c r="J172" s="196">
        <f t="shared" si="32"/>
        <v>1.3400956406250004</v>
      </c>
      <c r="K172" s="92"/>
      <c r="L172" s="92"/>
      <c r="M172" s="92"/>
      <c r="N172" s="92"/>
      <c r="O172" s="92"/>
      <c r="P172" s="92"/>
      <c r="Q172" s="92"/>
      <c r="R172" s="92"/>
      <c r="S172" s="92"/>
      <c r="T172" s="92"/>
    </row>
    <row r="173" spans="1:20">
      <c r="A173" s="92"/>
      <c r="B173" s="92"/>
      <c r="C173" s="92"/>
      <c r="D173" s="92"/>
      <c r="E173" s="92"/>
      <c r="F173" s="92"/>
      <c r="G173" s="92"/>
      <c r="H173" s="92"/>
      <c r="I173" s="92"/>
      <c r="J173" s="92"/>
      <c r="K173" s="92"/>
      <c r="L173" s="92"/>
      <c r="M173" s="92"/>
      <c r="N173" s="92"/>
      <c r="O173" s="92"/>
      <c r="P173" s="92"/>
      <c r="Q173" s="92"/>
      <c r="R173" s="92"/>
      <c r="S173" s="92"/>
      <c r="T173" s="92"/>
    </row>
    <row r="174" spans="1:20">
      <c r="A174" s="92"/>
      <c r="B174" s="92"/>
      <c r="C174" s="92"/>
      <c r="D174" s="176"/>
      <c r="E174" s="176"/>
      <c r="F174" s="176"/>
      <c r="G174" s="176"/>
      <c r="H174" s="176"/>
      <c r="I174" s="176"/>
      <c r="J174" s="176"/>
      <c r="K174" s="92"/>
      <c r="L174" s="92"/>
    </row>
    <row r="175" spans="1:20">
      <c r="A175" s="80" t="s">
        <v>0</v>
      </c>
      <c r="B175" s="80"/>
      <c r="C175" s="80" t="s">
        <v>153</v>
      </c>
      <c r="D175" s="81" t="s">
        <v>2</v>
      </c>
      <c r="E175" s="81" t="s">
        <v>3</v>
      </c>
      <c r="F175" s="81" t="s">
        <v>4</v>
      </c>
      <c r="G175" s="81" t="s">
        <v>5</v>
      </c>
      <c r="H175" s="81" t="s">
        <v>6</v>
      </c>
      <c r="I175" s="81" t="s">
        <v>170</v>
      </c>
      <c r="J175" s="81" t="s">
        <v>169</v>
      </c>
      <c r="K175" s="92"/>
      <c r="L175" s="92"/>
    </row>
    <row r="176" spans="1:20">
      <c r="A176" s="95"/>
      <c r="B176" s="95"/>
      <c r="C176" s="95"/>
      <c r="D176" s="93"/>
      <c r="E176" s="93"/>
      <c r="F176" s="93"/>
      <c r="G176" s="93"/>
      <c r="H176" s="93"/>
      <c r="I176" s="93"/>
      <c r="J176" s="93"/>
      <c r="K176" s="92"/>
      <c r="L176" s="92"/>
    </row>
    <row r="177" spans="1:12">
      <c r="A177" s="95" t="s">
        <v>126</v>
      </c>
      <c r="B177" s="95"/>
      <c r="C177" s="95"/>
      <c r="D177" s="93"/>
      <c r="E177" s="93"/>
      <c r="F177" s="93"/>
      <c r="G177" s="93"/>
      <c r="H177" s="93"/>
      <c r="I177" s="93"/>
      <c r="J177" s="93"/>
      <c r="K177" s="92"/>
      <c r="L177" s="92"/>
    </row>
    <row r="178" spans="1:12">
      <c r="A178" s="93" t="str">
        <f t="shared" ref="A178:A198" si="33">A120</f>
        <v>Soybean</v>
      </c>
      <c r="B178" s="93" t="s">
        <v>364</v>
      </c>
      <c r="C178" s="258">
        <v>5800</v>
      </c>
      <c r="D178" s="197">
        <f>(B120*(1-'5.Closing Stock &amp; W Capital'!$D$16))*C$178*D172</f>
        <v>23293741.363200001</v>
      </c>
      <c r="E178" s="197">
        <f>((C120*(1-'5.Closing Stock &amp; W Capital'!$D$16))+(B120*'5.Closing Stock &amp; W Capital'!$D$16))*$C178*E$172</f>
        <v>28014883.585919999</v>
      </c>
      <c r="F178" s="197">
        <f>((D120*(1-'5.Closing Stock &amp; W Capital'!$D$16))+(C120*'5.Closing Stock &amp; W Capital'!$D$16))*$C178*F$172</f>
        <v>32691310.144416004</v>
      </c>
      <c r="G178" s="197">
        <f>((E120*(1-'5.Closing Stock &amp; W Capital'!$D$16))+(D120*'5.Closing Stock &amp; W Capital'!$D$16))*$C178*G$172</f>
        <v>37765342.149796799</v>
      </c>
      <c r="H178" s="197">
        <f>((F120*(1-'5.Closing Stock &amp; W Capital'!$D$16))+(E120*'5.Closing Stock &amp; W Capital'!$D$16))*$C178*H$172</f>
        <v>43265049.080354653</v>
      </c>
      <c r="I178" s="197">
        <f>((G120*(1-'5.Closing Stock &amp; W Capital'!$D$16))+(F120*'5.Closing Stock &amp; W Capital'!$D$16))*$C178*I$172</f>
        <v>49220313.348593801</v>
      </c>
      <c r="J178" s="197">
        <f>((H120*(1-'5.Closing Stock &amp; W Capital'!$D$16))+(G120*'5.Closing Stock &amp; W Capital'!$D$16))*$C178*J$172</f>
        <v>55662941.420955963</v>
      </c>
      <c r="K178" s="92"/>
      <c r="L178" s="92"/>
    </row>
    <row r="179" spans="1:12">
      <c r="A179" s="93" t="str">
        <f t="shared" si="33"/>
        <v>Red Gram/Tur</v>
      </c>
      <c r="B179" s="93" t="s">
        <v>364</v>
      </c>
      <c r="C179" s="258">
        <v>6500</v>
      </c>
      <c r="D179" s="197">
        <f>(B121*(1-'5.Closing Stock &amp; W Capital'!$D$16))*$C179*D$172</f>
        <v>1878772.8959999997</v>
      </c>
      <c r="E179" s="197">
        <f>((C121*(1-'5.Closing Stock &amp; W Capital'!$D$16))+(B121*'5.Closing Stock &amp; W Capital'!$D$16))*$C179*E$172</f>
        <v>2259559.9026000001</v>
      </c>
      <c r="F179" s="197">
        <f>((D121*(1-'5.Closing Stock &amp; W Capital'!$D$16))+(C121*'5.Closing Stock &amp; W Capital'!$D$16))*$C179*F$172</f>
        <v>2636740.33623</v>
      </c>
      <c r="G179" s="197">
        <f>((E121*(1-'5.Closing Stock &amp; W Capital'!$D$16))+(D121*'5.Closing Stock &amp; W Capital'!$D$16))*$C179*G$172</f>
        <v>3045989.9134664997</v>
      </c>
      <c r="H179" s="197">
        <f>((F121*(1-'5.Closing Stock &amp; W Capital'!$D$16))+(E121*'5.Closing Stock &amp; W Capital'!$D$16))*$C179*H$172</f>
        <v>3489572.5975860753</v>
      </c>
      <c r="I179" s="197">
        <f>((G121*(1-'5.Closing Stock &amp; W Capital'!$D$16))+(F121*'5.Closing Stock &amp; W Capital'!$D$16))*$C179*I$172</f>
        <v>3969898.5753339422</v>
      </c>
      <c r="J179" s="197">
        <f>((H121*(1-'5.Closing Stock &amp; W Capital'!$D$16))+(G121*'5.Closing Stock &amp; W Capital'!$D$16))*$C179*J$172</f>
        <v>4489533.2193626314</v>
      </c>
      <c r="K179" s="92"/>
      <c r="L179" s="92"/>
    </row>
    <row r="180" spans="1:12">
      <c r="A180" s="93" t="str">
        <f t="shared" si="33"/>
        <v>Paddy/Rice</v>
      </c>
      <c r="B180" s="93" t="s">
        <v>364</v>
      </c>
      <c r="C180" s="258"/>
      <c r="D180" s="197">
        <f>(B122*(1-'5.Closing Stock &amp; W Capital'!$D$16))*$C180*D$172</f>
        <v>0</v>
      </c>
      <c r="E180" s="197">
        <f>((C122*(1-'5.Closing Stock &amp; W Capital'!$D$16))+(B122*'5.Closing Stock &amp; W Capital'!$D$16))*$C180*E$172</f>
        <v>0</v>
      </c>
      <c r="F180" s="197">
        <f>((D122*(1-'5.Closing Stock &amp; W Capital'!$D$16))+(C122*'5.Closing Stock &amp; W Capital'!$D$16))*$C180*F$172</f>
        <v>0</v>
      </c>
      <c r="G180" s="197">
        <f>((E122*(1-'5.Closing Stock &amp; W Capital'!$D$16))+(D122*'5.Closing Stock &amp; W Capital'!$D$16))*$C180*G$172</f>
        <v>0</v>
      </c>
      <c r="H180" s="197">
        <f>((F122*(1-'5.Closing Stock &amp; W Capital'!$D$16))+(E122*'5.Closing Stock &amp; W Capital'!$D$16))*$C180*H$172</f>
        <v>0</v>
      </c>
      <c r="I180" s="197">
        <f>((G122*(1-'5.Closing Stock &amp; W Capital'!$D$16))+(F122*'5.Closing Stock &amp; W Capital'!$D$16))*$C180*I$172</f>
        <v>0</v>
      </c>
      <c r="J180" s="197">
        <f>((H122*(1-'5.Closing Stock &amp; W Capital'!$D$16))+(G122*'5.Closing Stock &amp; W Capital'!$D$16))*$C180*J$172</f>
        <v>0</v>
      </c>
      <c r="K180" s="92"/>
      <c r="L180" s="92"/>
    </row>
    <row r="181" spans="1:12">
      <c r="A181" s="93" t="str">
        <f t="shared" si="33"/>
        <v>Green Gram/ Moong</v>
      </c>
      <c r="B181" s="93" t="s">
        <v>364</v>
      </c>
      <c r="C181" s="258">
        <v>6000</v>
      </c>
      <c r="D181" s="197">
        <f>(B123*(1-'5.Closing Stock &amp; W Capital'!$D$16))*$C181*D$172</f>
        <v>76063.680000000008</v>
      </c>
      <c r="E181" s="197">
        <f>((C123*(1-'5.Closing Stock &amp; W Capital'!$D$16))+(B123*'5.Closing Stock &amp; W Capital'!$D$16))*$C181*E$172</f>
        <v>91480.157999999996</v>
      </c>
      <c r="F181" s="197">
        <f>((D123*(1-'5.Closing Stock &amp; W Capital'!$D$16))+(C123*'5.Closing Stock &amp; W Capital'!$D$16))*$C181*F$172</f>
        <v>106750.62090000002</v>
      </c>
      <c r="G181" s="197">
        <f>((E123*(1-'5.Closing Stock &amp; W Capital'!$D$16))+(D123*'5.Closing Stock &amp; W Capital'!$D$16))*$C181*G$172</f>
        <v>123319.42969500003</v>
      </c>
      <c r="H181" s="197">
        <f>((F123*(1-'5.Closing Stock &amp; W Capital'!$D$16))+(E123*'5.Closing Stock &amp; W Capital'!$D$16))*$C181*H$172</f>
        <v>141278.24281725008</v>
      </c>
      <c r="I181" s="197">
        <f>((G123*(1-'5.Closing Stock &amp; W Capital'!$D$16))+(F123*'5.Closing Stock &amp; W Capital'!$D$16))*$C181*I$172</f>
        <v>160724.63867748756</v>
      </c>
      <c r="J181" s="197">
        <f>((H123*(1-'5.Closing Stock &amp; W Capital'!$D$16))+(G123*'5.Closing Stock &amp; W Capital'!$D$16))*$C181*J$172</f>
        <v>181762.47851670571</v>
      </c>
      <c r="K181" s="92"/>
      <c r="L181" s="92"/>
    </row>
    <row r="182" spans="1:12">
      <c r="A182" s="93" t="str">
        <f t="shared" si="33"/>
        <v>Maize</v>
      </c>
      <c r="B182" s="93" t="s">
        <v>364</v>
      </c>
      <c r="C182" s="258"/>
      <c r="D182" s="197">
        <f>(B124*(1-'5.Closing Stock &amp; W Capital'!$D$16))*$C182*D$172</f>
        <v>0</v>
      </c>
      <c r="E182" s="197">
        <f>((C124*(1-'5.Closing Stock &amp; W Capital'!$D$16))+(B124*'5.Closing Stock &amp; W Capital'!$D$16))*$C182*E$172</f>
        <v>0</v>
      </c>
      <c r="F182" s="197">
        <f>((D124*(1-'5.Closing Stock &amp; W Capital'!$D$16))+(C124*'5.Closing Stock &amp; W Capital'!$D$16))*$C182*F$172</f>
        <v>0</v>
      </c>
      <c r="G182" s="197">
        <f>((E124*(1-'5.Closing Stock &amp; W Capital'!$D$16))+(D124*'5.Closing Stock &amp; W Capital'!$D$16))*$C182*G$172</f>
        <v>0</v>
      </c>
      <c r="H182" s="197">
        <f>((F124*(1-'5.Closing Stock &amp; W Capital'!$D$16))+(E124*'5.Closing Stock &amp; W Capital'!$D$16))*$C182*H$172</f>
        <v>0</v>
      </c>
      <c r="I182" s="197">
        <f>((G124*(1-'5.Closing Stock &amp; W Capital'!$D$16))+(F124*'5.Closing Stock &amp; W Capital'!$D$16))*$C182*I$172</f>
        <v>0</v>
      </c>
      <c r="J182" s="197">
        <f>((H124*(1-'5.Closing Stock &amp; W Capital'!$D$16))+(G124*'5.Closing Stock &amp; W Capital'!$D$16))*$C182*J$172</f>
        <v>0</v>
      </c>
      <c r="K182" s="92"/>
      <c r="L182" s="92"/>
    </row>
    <row r="183" spans="1:12">
      <c r="A183" s="93" t="str">
        <f t="shared" si="33"/>
        <v>Black Gram/Udid</v>
      </c>
      <c r="B183" s="93" t="s">
        <v>364</v>
      </c>
      <c r="C183" s="258">
        <v>6500</v>
      </c>
      <c r="D183" s="197">
        <f>(B125*(1-'5.Closing Stock &amp; W Capital'!$D$16))*$C183*D$172</f>
        <v>0</v>
      </c>
      <c r="E183" s="197">
        <f>((C125*(1-'5.Closing Stock &amp; W Capital'!$D$16))+(B125*'5.Closing Stock &amp; W Capital'!$D$16))*$C183*E$172</f>
        <v>0</v>
      </c>
      <c r="F183" s="197">
        <f>((D125*(1-'5.Closing Stock &amp; W Capital'!$D$16))+(C125*'5.Closing Stock &amp; W Capital'!$D$16))*$C183*F$172</f>
        <v>0</v>
      </c>
      <c r="G183" s="197">
        <f>((E125*(1-'5.Closing Stock &amp; W Capital'!$D$16))+(D125*'5.Closing Stock &amp; W Capital'!$D$16))*$C183*G$172</f>
        <v>0</v>
      </c>
      <c r="H183" s="197">
        <f>((F125*(1-'5.Closing Stock &amp; W Capital'!$D$16))+(E125*'5.Closing Stock &amp; W Capital'!$D$16))*$C183*H$172</f>
        <v>0</v>
      </c>
      <c r="I183" s="197">
        <f>((G125*(1-'5.Closing Stock &amp; W Capital'!$D$16))+(F125*'5.Closing Stock &amp; W Capital'!$D$16))*$C183*I$172</f>
        <v>0</v>
      </c>
      <c r="J183" s="197">
        <f>((H125*(1-'5.Closing Stock &amp; W Capital'!$D$16))+(G125*'5.Closing Stock &amp; W Capital'!$D$16))*$C183*J$172</f>
        <v>0</v>
      </c>
      <c r="K183" s="92"/>
      <c r="L183" s="92"/>
    </row>
    <row r="184" spans="1:12">
      <c r="A184" s="93" t="str">
        <f t="shared" si="33"/>
        <v>Bajra</v>
      </c>
      <c r="B184" s="93" t="s">
        <v>364</v>
      </c>
      <c r="C184" s="258">
        <v>2000</v>
      </c>
      <c r="D184" s="197">
        <f>(B126*(1-'5.Closing Stock &amp; W Capital'!$D$16))*$C184*D$172</f>
        <v>0</v>
      </c>
      <c r="E184" s="197">
        <f>((C126*(1-'5.Closing Stock &amp; W Capital'!$D$16))+(B126*'5.Closing Stock &amp; W Capital'!$D$16))*$C184*E$172</f>
        <v>0</v>
      </c>
      <c r="F184" s="197">
        <f>((D126*(1-'5.Closing Stock &amp; W Capital'!$D$16))+(C126*'5.Closing Stock &amp; W Capital'!$D$16))*$C184*F$172</f>
        <v>0</v>
      </c>
      <c r="G184" s="197">
        <f>((E126*(1-'5.Closing Stock &amp; W Capital'!$D$16))+(D126*'5.Closing Stock &amp; W Capital'!$D$16))*$C184*G$172</f>
        <v>0</v>
      </c>
      <c r="H184" s="197">
        <f>((F126*(1-'5.Closing Stock &amp; W Capital'!$D$16))+(E126*'5.Closing Stock &amp; W Capital'!$D$16))*$C184*H$172</f>
        <v>0</v>
      </c>
      <c r="I184" s="197">
        <f>((G126*(1-'5.Closing Stock &amp; W Capital'!$D$16))+(F126*'5.Closing Stock &amp; W Capital'!$D$16))*$C184*I$172</f>
        <v>0</v>
      </c>
      <c r="J184" s="197">
        <f>((H126*(1-'5.Closing Stock &amp; W Capital'!$D$16))+(G126*'5.Closing Stock &amp; W Capital'!$D$16))*$C184*J$172</f>
        <v>0</v>
      </c>
      <c r="K184" s="92"/>
      <c r="L184" s="92"/>
    </row>
    <row r="185" spans="1:12">
      <c r="A185" s="93" t="str">
        <f t="shared" si="33"/>
        <v>Jawar</v>
      </c>
      <c r="B185" s="93" t="s">
        <v>364</v>
      </c>
      <c r="C185" s="258"/>
      <c r="D185" s="197">
        <f>(B127*(1-'5.Closing Stock &amp; W Capital'!$D$16))*$C185*D$172</f>
        <v>0</v>
      </c>
      <c r="E185" s="197">
        <f>((C127*(1-'5.Closing Stock &amp; W Capital'!$D$16))+(B127*'5.Closing Stock &amp; W Capital'!$D$16))*$C185*E$172</f>
        <v>0</v>
      </c>
      <c r="F185" s="197">
        <f>((D127*(1-'5.Closing Stock &amp; W Capital'!$D$16))+(C127*'5.Closing Stock &amp; W Capital'!$D$16))*$C185*F$172</f>
        <v>0</v>
      </c>
      <c r="G185" s="197">
        <f>((E127*(1-'5.Closing Stock &amp; W Capital'!$D$16))+(D127*'5.Closing Stock &amp; W Capital'!$D$16))*$C185*G$172</f>
        <v>0</v>
      </c>
      <c r="H185" s="197">
        <f>((F127*(1-'5.Closing Stock &amp; W Capital'!$D$16))+(E127*'5.Closing Stock &amp; W Capital'!$D$16))*$C185*H$172</f>
        <v>0</v>
      </c>
      <c r="I185" s="197">
        <f>((G127*(1-'5.Closing Stock &amp; W Capital'!$D$16))+(F127*'5.Closing Stock &amp; W Capital'!$D$16))*$C185*I$172</f>
        <v>0</v>
      </c>
      <c r="J185" s="197">
        <f>((H127*(1-'5.Closing Stock &amp; W Capital'!$D$16))+(G127*'5.Closing Stock &amp; W Capital'!$D$16))*$C185*J$172</f>
        <v>0</v>
      </c>
      <c r="K185" s="92"/>
      <c r="L185" s="92"/>
    </row>
    <row r="186" spans="1:12">
      <c r="A186" s="93" t="str">
        <f t="shared" si="33"/>
        <v>Sunflower</v>
      </c>
      <c r="B186" s="93" t="s">
        <v>364</v>
      </c>
      <c r="C186" s="258"/>
      <c r="D186" s="197">
        <f>(B128*(1-'5.Closing Stock &amp; W Capital'!$D$16))*$C186*D$172</f>
        <v>0</v>
      </c>
      <c r="E186" s="197">
        <f>((C128*(1-'5.Closing Stock &amp; W Capital'!$D$16))+(B128*'5.Closing Stock &amp; W Capital'!$D$16))*$C186*E$172</f>
        <v>0</v>
      </c>
      <c r="F186" s="197">
        <f>((D128*(1-'5.Closing Stock &amp; W Capital'!$D$16))+(C128*'5.Closing Stock &amp; W Capital'!$D$16))*$C186*F$172</f>
        <v>0</v>
      </c>
      <c r="G186" s="197">
        <f>((E128*(1-'5.Closing Stock &amp; W Capital'!$D$16))+(D128*'5.Closing Stock &amp; W Capital'!$D$16))*$C186*G$172</f>
        <v>0</v>
      </c>
      <c r="H186" s="197">
        <f>((F128*(1-'5.Closing Stock &amp; W Capital'!$D$16))+(E128*'5.Closing Stock &amp; W Capital'!$D$16))*$C186*H$172</f>
        <v>0</v>
      </c>
      <c r="I186" s="197">
        <f>((G128*(1-'5.Closing Stock &amp; W Capital'!$D$16))+(F128*'5.Closing Stock &amp; W Capital'!$D$16))*$C186*I$172</f>
        <v>0</v>
      </c>
      <c r="J186" s="197">
        <f>((H128*(1-'5.Closing Stock &amp; W Capital'!$D$16))+(G128*'5.Closing Stock &amp; W Capital'!$D$16))*$C186*J$172</f>
        <v>0</v>
      </c>
      <c r="K186" s="92"/>
      <c r="L186" s="92"/>
    </row>
    <row r="187" spans="1:12">
      <c r="A187" s="93" t="str">
        <f t="shared" si="33"/>
        <v>Wheat</v>
      </c>
      <c r="B187" s="93" t="s">
        <v>364</v>
      </c>
      <c r="C187" s="258">
        <v>1800</v>
      </c>
      <c r="D187" s="197">
        <f>(B129*(1-'5.Closing Stock &amp; W Capital'!$D$16))*$C187*D$172</f>
        <v>19715.705856</v>
      </c>
      <c r="E187" s="197">
        <f>((C129*(1-'5.Closing Stock &amp; W Capital'!$D$16))+(B129*'5.Closing Stock &amp; W Capital'!$D$16))*$C187*E$172</f>
        <v>23711.65695360001</v>
      </c>
      <c r="F187" s="197">
        <f>((D129*(1-'5.Closing Stock &amp; W Capital'!$D$16))+(C129*'5.Closing Stock &amp; W Capital'!$D$16))*$C187*F$172</f>
        <v>27669.760937280003</v>
      </c>
      <c r="G187" s="197">
        <f>((E129*(1-'5.Closing Stock &amp; W Capital'!$D$16))+(D129*'5.Closing Stock &amp; W Capital'!$D$16))*$C187*G$172</f>
        <v>31964.396176944014</v>
      </c>
      <c r="H187" s="197">
        <f>((F129*(1-'5.Closing Stock &amp; W Capital'!$D$16))+(E129*'5.Closing Stock &amp; W Capital'!$D$16))*$C187*H$172</f>
        <v>36619.320538231215</v>
      </c>
      <c r="I187" s="197">
        <f>((G129*(1-'5.Closing Stock &amp; W Capital'!$D$16))+(F129*'5.Closing Stock &amp; W Capital'!$D$16))*$C187*I$172</f>
        <v>41659.826345204776</v>
      </c>
      <c r="J187" s="197">
        <f>((H129*(1-'5.Closing Stock &amp; W Capital'!$D$16))+(G129*'5.Closing Stock &amp; W Capital'!$D$16))*$C187*J$172</f>
        <v>47112.834431530144</v>
      </c>
      <c r="K187" s="92"/>
      <c r="L187" s="92"/>
    </row>
    <row r="188" spans="1:12">
      <c r="A188" s="93" t="str">
        <f t="shared" si="33"/>
        <v>Bengal Gram/Channa</v>
      </c>
      <c r="B188" s="93" t="s">
        <v>364</v>
      </c>
      <c r="C188" s="258">
        <v>5500</v>
      </c>
      <c r="D188" s="197">
        <f>(B130*(1-'5.Closing Stock &amp; W Capital'!$D$16))*$C188*D$172</f>
        <v>4819394.7648</v>
      </c>
      <c r="E188" s="197">
        <f>((C130*(1-'5.Closing Stock &amp; W Capital'!$D$16))+(B130*'5.Closing Stock &amp; W Capital'!$D$16))*$C188*E$172</f>
        <v>5796182.8108800007</v>
      </c>
      <c r="F188" s="197">
        <f>((D130*(1-'5.Closing Stock &amp; W Capital'!$D$16))+(C130*'5.Closing Stock &amp; W Capital'!$D$16))*$C188*F$172</f>
        <v>6763719.3402240006</v>
      </c>
      <c r="G188" s="197">
        <f>((E130*(1-'5.Closing Stock &amp; W Capital'!$D$16))+(D130*'5.Closing Stock &amp; W Capital'!$D$16))*$C188*G$172</f>
        <v>7813519.0654751994</v>
      </c>
      <c r="H188" s="197">
        <f>((F130*(1-'5.Closing Stock &amp; W Capital'!$D$16))+(E130*'5.Closing Stock &amp; W Capital'!$D$16))*$C188*H$172</f>
        <v>8951389.4649009649</v>
      </c>
      <c r="I188" s="197">
        <f>((G130*(1-'5.Closing Stock &amp; W Capital'!$D$16))+(F130*'5.Closing Stock &amp; W Capital'!$D$16))*$C188*I$172</f>
        <v>10183513.106605612</v>
      </c>
      <c r="J188" s="197">
        <f>((H130*(1-'5.Closing Stock &amp; W Capital'!$D$16))+(G130*'5.Closing Stock &amp; W Capital'!$D$16))*$C188*J$172</f>
        <v>11516470.638818476</v>
      </c>
      <c r="K188" s="92"/>
      <c r="L188" s="92"/>
    </row>
    <row r="189" spans="1:12">
      <c r="A189" s="93" t="str">
        <f t="shared" si="33"/>
        <v>Jawar</v>
      </c>
      <c r="B189" s="93" t="s">
        <v>364</v>
      </c>
      <c r="C189" s="258"/>
      <c r="D189" s="197">
        <f>(B131*(1-'5.Closing Stock &amp; W Capital'!$D$16))*$C189*D$172</f>
        <v>0</v>
      </c>
      <c r="E189" s="197">
        <f>((C131*(1-'5.Closing Stock &amp; W Capital'!$D$16))+(B131*'5.Closing Stock &amp; W Capital'!$D$16))*$C189*E$172</f>
        <v>0</v>
      </c>
      <c r="F189" s="197">
        <f>((D131*(1-'5.Closing Stock &amp; W Capital'!$D$16))+(C131*'5.Closing Stock &amp; W Capital'!$D$16))*$C189*F$172</f>
        <v>0</v>
      </c>
      <c r="G189" s="197">
        <f>((E131*(1-'5.Closing Stock &amp; W Capital'!$D$16))+(D131*'5.Closing Stock &amp; W Capital'!$D$16))*$C189*G$172</f>
        <v>0</v>
      </c>
      <c r="H189" s="197">
        <f>((F131*(1-'5.Closing Stock &amp; W Capital'!$D$16))+(E131*'5.Closing Stock &amp; W Capital'!$D$16))*$C189*H$172</f>
        <v>0</v>
      </c>
      <c r="I189" s="197">
        <f>((G131*(1-'5.Closing Stock &amp; W Capital'!$D$16))+(F131*'5.Closing Stock &amp; W Capital'!$D$16))*$C189*I$172</f>
        <v>0</v>
      </c>
      <c r="J189" s="197">
        <f>((H131*(1-'5.Closing Stock &amp; W Capital'!$D$16))+(G131*'5.Closing Stock &amp; W Capital'!$D$16))*$C189*J$172</f>
        <v>0</v>
      </c>
      <c r="K189" s="92"/>
      <c r="L189" s="92"/>
    </row>
    <row r="190" spans="1:12">
      <c r="A190" s="93" t="str">
        <f t="shared" si="33"/>
        <v>Maize</v>
      </c>
      <c r="B190" s="93" t="s">
        <v>364</v>
      </c>
      <c r="C190" s="258"/>
      <c r="D190" s="197">
        <f>(B132*(1-'5.Closing Stock &amp; W Capital'!$D$16))*$C190*D$172</f>
        <v>0</v>
      </c>
      <c r="E190" s="197">
        <f>((C132*(1-'5.Closing Stock &amp; W Capital'!$D$16))+(B132*'5.Closing Stock &amp; W Capital'!$D$16))*$C190*E$172</f>
        <v>0</v>
      </c>
      <c r="F190" s="197">
        <f>((D132*(1-'5.Closing Stock &amp; W Capital'!$D$16))+(C132*'5.Closing Stock &amp; W Capital'!$D$16))*$C190*F$172</f>
        <v>0</v>
      </c>
      <c r="G190" s="197">
        <f>((E132*(1-'5.Closing Stock &amp; W Capital'!$D$16))+(D132*'5.Closing Stock &amp; W Capital'!$D$16))*$C190*G$172</f>
        <v>0</v>
      </c>
      <c r="H190" s="197">
        <f>((F132*(1-'5.Closing Stock &amp; W Capital'!$D$16))+(E132*'5.Closing Stock &amp; W Capital'!$D$16))*$C190*H$172</f>
        <v>0</v>
      </c>
      <c r="I190" s="197">
        <f>((G132*(1-'5.Closing Stock &amp; W Capital'!$D$16))+(F132*'5.Closing Stock &amp; W Capital'!$D$16))*$C190*I$172</f>
        <v>0</v>
      </c>
      <c r="J190" s="197">
        <f>((H132*(1-'5.Closing Stock &amp; W Capital'!$D$16))+(G132*'5.Closing Stock &amp; W Capital'!$D$16))*$C190*J$172</f>
        <v>0</v>
      </c>
      <c r="K190" s="92"/>
      <c r="L190" s="92"/>
    </row>
    <row r="191" spans="1:12">
      <c r="A191" s="93" t="str">
        <f t="shared" si="33"/>
        <v>Safflower</v>
      </c>
      <c r="B191" s="93" t="s">
        <v>364</v>
      </c>
      <c r="C191" s="258">
        <v>6000</v>
      </c>
      <c r="D191" s="197">
        <f>(B133*(1-'5.Closing Stock &amp; W Capital'!$D$16))*$C191*D$172</f>
        <v>27382.924799999997</v>
      </c>
      <c r="E191" s="197">
        <f>((C133*(1-'5.Closing Stock &amp; W Capital'!$D$16))+(B133*'5.Closing Stock &amp; W Capital'!$D$16))*$C191*E$172</f>
        <v>32932.856880000007</v>
      </c>
      <c r="F191" s="197">
        <f>((D133*(1-'5.Closing Stock &amp; W Capital'!$D$16))+(C133*'5.Closing Stock &amp; W Capital'!$D$16))*$C191*F$172</f>
        <v>38430.223524000001</v>
      </c>
      <c r="G191" s="197">
        <f>((E133*(1-'5.Closing Stock &amp; W Capital'!$D$16))+(D133*'5.Closing Stock &amp; W Capital'!$D$16))*$C191*G$172</f>
        <v>44394.994690200016</v>
      </c>
      <c r="H191" s="197">
        <f>((F133*(1-'5.Closing Stock &amp; W Capital'!$D$16))+(E133*'5.Closing Stock &amp; W Capital'!$D$16))*$C191*H$172</f>
        <v>50860.167414210016</v>
      </c>
      <c r="I191" s="197">
        <f>((G133*(1-'5.Closing Stock &amp; W Capital'!$D$16))+(F133*'5.Closing Stock &amp; W Capital'!$D$16))*$C191*I$172</f>
        <v>57860.869923895531</v>
      </c>
      <c r="J191" s="197">
        <f>((H133*(1-'5.Closing Stock &amp; W Capital'!$D$16))+(G133*'5.Closing Stock &amp; W Capital'!$D$16))*$C191*J$172</f>
        <v>65434.492266014066</v>
      </c>
      <c r="K191" s="92"/>
      <c r="L191" s="92"/>
    </row>
    <row r="192" spans="1:12">
      <c r="A192" s="93">
        <f t="shared" si="33"/>
        <v>0</v>
      </c>
      <c r="B192" s="93" t="s">
        <v>364</v>
      </c>
      <c r="C192" s="258"/>
      <c r="D192" s="197">
        <f>(B134*(1-'5.Closing Stock &amp; W Capital'!$D$16))*$C192*D$172</f>
        <v>0</v>
      </c>
      <c r="E192" s="197">
        <f>((C134*(1-'5.Closing Stock &amp; W Capital'!$D$16))+(B134*'5.Closing Stock &amp; W Capital'!$D$16))*$C192*E$172</f>
        <v>0</v>
      </c>
      <c r="F192" s="197">
        <f>((D134*(1-'5.Closing Stock &amp; W Capital'!$D$16))+(C134*'5.Closing Stock &amp; W Capital'!$D$16))*$C192*F$172</f>
        <v>0</v>
      </c>
      <c r="G192" s="197">
        <f>((E134*(1-'5.Closing Stock &amp; W Capital'!$D$16))+(D134*'5.Closing Stock &amp; W Capital'!$D$16))*$C192*G$172</f>
        <v>0</v>
      </c>
      <c r="H192" s="197">
        <f>((F134*(1-'5.Closing Stock &amp; W Capital'!$D$16))+(E134*'5.Closing Stock &amp; W Capital'!$D$16))*$C192*H$172</f>
        <v>0</v>
      </c>
      <c r="I192" s="197">
        <f>((G134*(1-'5.Closing Stock &amp; W Capital'!$D$16))+(F134*'5.Closing Stock &amp; W Capital'!$D$16))*$C192*I$172</f>
        <v>0</v>
      </c>
      <c r="J192" s="197">
        <f>((H134*(1-'5.Closing Stock &amp; W Capital'!$D$16))+(G134*'5.Closing Stock &amp; W Capital'!$D$16))*$C192*J$172</f>
        <v>0</v>
      </c>
      <c r="K192" s="92"/>
      <c r="L192" s="92"/>
    </row>
    <row r="193" spans="1:12">
      <c r="A193" s="93">
        <f t="shared" si="33"/>
        <v>0</v>
      </c>
      <c r="B193" s="93" t="s">
        <v>364</v>
      </c>
      <c r="C193" s="258"/>
      <c r="D193" s="197">
        <f>(B135*(1-'5.Closing Stock &amp; W Capital'!$D$16))*$C193*D$172</f>
        <v>0</v>
      </c>
      <c r="E193" s="197">
        <f>((C135*(1-'5.Closing Stock &amp; W Capital'!$D$16))+(B135*'5.Closing Stock &amp; W Capital'!$D$16))*$C193*E$172</f>
        <v>0</v>
      </c>
      <c r="F193" s="197">
        <f>((D135*(1-'5.Closing Stock &amp; W Capital'!$D$16))+(C135*'5.Closing Stock &amp; W Capital'!$D$16))*$C193*F$172</f>
        <v>0</v>
      </c>
      <c r="G193" s="197">
        <f>((E135*(1-'5.Closing Stock &amp; W Capital'!$D$16))+(D135*'5.Closing Stock &amp; W Capital'!$D$16))*$C193*G$172</f>
        <v>0</v>
      </c>
      <c r="H193" s="197">
        <f>((F135*(1-'5.Closing Stock &amp; W Capital'!$D$16))+(E135*'5.Closing Stock &amp; W Capital'!$D$16))*$C193*H$172</f>
        <v>0</v>
      </c>
      <c r="I193" s="197">
        <f>((G135*(1-'5.Closing Stock &amp; W Capital'!$D$16))+(F135*'5.Closing Stock &amp; W Capital'!$D$16))*$C193*I$172</f>
        <v>0</v>
      </c>
      <c r="J193" s="197">
        <f>((H135*(1-'5.Closing Stock &amp; W Capital'!$D$16))+(G135*'5.Closing Stock &amp; W Capital'!$D$16))*$C193*J$172</f>
        <v>0</v>
      </c>
      <c r="K193" s="92"/>
      <c r="L193" s="92"/>
    </row>
    <row r="194" spans="1:12">
      <c r="A194" s="93">
        <f t="shared" si="33"/>
        <v>0</v>
      </c>
      <c r="B194" s="93" t="s">
        <v>364</v>
      </c>
      <c r="C194" s="258"/>
      <c r="D194" s="197">
        <f>(B136*(1-'5.Closing Stock &amp; W Capital'!$D$16))*$C194*D$172</f>
        <v>0</v>
      </c>
      <c r="E194" s="197">
        <f>((C136*(1-'5.Closing Stock &amp; W Capital'!$D$16))+(B136*'5.Closing Stock &amp; W Capital'!$D$16))*$C194*E$172</f>
        <v>0</v>
      </c>
      <c r="F194" s="197">
        <f>((D136*(1-'5.Closing Stock &amp; W Capital'!$D$16))+(C136*'5.Closing Stock &amp; W Capital'!$D$16))*$C194*F$172</f>
        <v>0</v>
      </c>
      <c r="G194" s="197">
        <f>((E136*(1-'5.Closing Stock &amp; W Capital'!$D$16))+(D136*'5.Closing Stock &amp; W Capital'!$D$16))*$C194*G$172</f>
        <v>0</v>
      </c>
      <c r="H194" s="197">
        <f>((F136*(1-'5.Closing Stock &amp; W Capital'!$D$16))+(E136*'5.Closing Stock &amp; W Capital'!$D$16))*$C194*H$172</f>
        <v>0</v>
      </c>
      <c r="I194" s="197">
        <f>((G136*(1-'5.Closing Stock &amp; W Capital'!$D$16))+(F136*'5.Closing Stock &amp; W Capital'!$D$16))*$C194*I$172</f>
        <v>0</v>
      </c>
      <c r="J194" s="197">
        <f>((H136*(1-'5.Closing Stock &amp; W Capital'!$D$16))+(G136*'5.Closing Stock &amp; W Capital'!$D$16))*$C194*J$172</f>
        <v>0</v>
      </c>
      <c r="K194" s="92"/>
      <c r="L194" s="92"/>
    </row>
    <row r="195" spans="1:12">
      <c r="A195" s="93" t="str">
        <f t="shared" si="33"/>
        <v>Groundnut</v>
      </c>
      <c r="B195" s="93" t="s">
        <v>364</v>
      </c>
      <c r="C195" s="258"/>
      <c r="D195" s="197">
        <f>(B137*(1-'5.Closing Stock &amp; W Capital'!$D$16))*$C195*D$172</f>
        <v>0</v>
      </c>
      <c r="E195" s="197">
        <f>((C137*(1-'5.Closing Stock &amp; W Capital'!$D$16))+(B137*'5.Closing Stock &amp; W Capital'!$D$16))*$C195*E$172</f>
        <v>0</v>
      </c>
      <c r="F195" s="197">
        <f>((D137*(1-'5.Closing Stock &amp; W Capital'!$D$16))+(C137*'5.Closing Stock &amp; W Capital'!$D$16))*$C195*F$172</f>
        <v>0</v>
      </c>
      <c r="G195" s="197">
        <f>((E137*(1-'5.Closing Stock &amp; W Capital'!$D$16))+(D137*'5.Closing Stock &amp; W Capital'!$D$16))*$C195*G$172</f>
        <v>0</v>
      </c>
      <c r="H195" s="197">
        <f>((F137*(1-'5.Closing Stock &amp; W Capital'!$D$16))+(E137*'5.Closing Stock &amp; W Capital'!$D$16))*$C195*H$172</f>
        <v>0</v>
      </c>
      <c r="I195" s="197">
        <f>((G137*(1-'5.Closing Stock &amp; W Capital'!$D$16))+(F137*'5.Closing Stock &amp; W Capital'!$D$16))*$C195*I$172</f>
        <v>0</v>
      </c>
      <c r="J195" s="197">
        <f>((H137*(1-'5.Closing Stock &amp; W Capital'!$D$16))+(G137*'5.Closing Stock &amp; W Capital'!$D$16))*$C195*J$172</f>
        <v>0</v>
      </c>
      <c r="K195" s="92"/>
      <c r="L195" s="92"/>
    </row>
    <row r="196" spans="1:12">
      <c r="A196" s="93">
        <f t="shared" si="33"/>
        <v>0</v>
      </c>
      <c r="B196" s="93" t="s">
        <v>364</v>
      </c>
      <c r="C196" s="258"/>
      <c r="D196" s="197">
        <f>(B138*(1-'5.Closing Stock &amp; W Capital'!$D$16))*$C196*D$172</f>
        <v>0</v>
      </c>
      <c r="E196" s="197">
        <f>((C138*(1-'5.Closing Stock &amp; W Capital'!$D$16))+(B138*'5.Closing Stock &amp; W Capital'!$D$16))*$C196*E$172</f>
        <v>0</v>
      </c>
      <c r="F196" s="197">
        <f>((D138*(1-'5.Closing Stock &amp; W Capital'!$D$16))+(C138*'5.Closing Stock &amp; W Capital'!$D$16))*$C196*F$172</f>
        <v>0</v>
      </c>
      <c r="G196" s="197">
        <f>((E138*(1-'5.Closing Stock &amp; W Capital'!$D$16))+(D138*'5.Closing Stock &amp; W Capital'!$D$16))*$C196*G$172</f>
        <v>0</v>
      </c>
      <c r="H196" s="197">
        <f>((F138*(1-'5.Closing Stock &amp; W Capital'!$D$16))+(E138*'5.Closing Stock &amp; W Capital'!$D$16))*$C196*H$172</f>
        <v>0</v>
      </c>
      <c r="I196" s="197">
        <f>((G138*(1-'5.Closing Stock &amp; W Capital'!$D$16))+(F138*'5.Closing Stock &amp; W Capital'!$D$16))*$C196*I$172</f>
        <v>0</v>
      </c>
      <c r="J196" s="197">
        <f>((H138*(1-'5.Closing Stock &amp; W Capital'!$D$16))+(G138*'5.Closing Stock &amp; W Capital'!$D$16))*$C196*J$172</f>
        <v>0</v>
      </c>
      <c r="K196" s="92"/>
      <c r="L196" s="92"/>
    </row>
    <row r="197" spans="1:12">
      <c r="A197" s="93">
        <f t="shared" si="33"/>
        <v>0</v>
      </c>
      <c r="B197" s="93" t="s">
        <v>364</v>
      </c>
      <c r="C197" s="258"/>
      <c r="D197" s="197">
        <f>(B139*(1-'5.Closing Stock &amp; W Capital'!$D$16))*$C197*D$172</f>
        <v>0</v>
      </c>
      <c r="E197" s="197">
        <f>((C139*(1-'5.Closing Stock &amp; W Capital'!$D$16))+(B139*'5.Closing Stock &amp; W Capital'!$D$16))*$C197*E$172</f>
        <v>0</v>
      </c>
      <c r="F197" s="197">
        <f>((D139*(1-'5.Closing Stock &amp; W Capital'!$D$16))+(C139*'5.Closing Stock &amp; W Capital'!$D$16))*$C197*F$172</f>
        <v>0</v>
      </c>
      <c r="G197" s="197">
        <f>((E139*(1-'5.Closing Stock &amp; W Capital'!$D$16))+(D139*'5.Closing Stock &amp; W Capital'!$D$16))*$C197*G$172</f>
        <v>0</v>
      </c>
      <c r="H197" s="197">
        <f>((F139*(1-'5.Closing Stock &amp; W Capital'!$D$16))+(E139*'5.Closing Stock &amp; W Capital'!$D$16))*$C197*H$172</f>
        <v>0</v>
      </c>
      <c r="I197" s="197">
        <f>((G139*(1-'5.Closing Stock &amp; W Capital'!$D$16))+(F139*'5.Closing Stock &amp; W Capital'!$D$16))*$C197*I$172</f>
        <v>0</v>
      </c>
      <c r="J197" s="197">
        <f>((H139*(1-'5.Closing Stock &amp; W Capital'!$D$16))+(G139*'5.Closing Stock &amp; W Capital'!$D$16))*$C197*J$172</f>
        <v>0</v>
      </c>
      <c r="K197" s="92"/>
      <c r="L197" s="92"/>
    </row>
    <row r="198" spans="1:12">
      <c r="A198" s="93">
        <f t="shared" si="33"/>
        <v>0</v>
      </c>
      <c r="B198" s="93" t="s">
        <v>364</v>
      </c>
      <c r="C198" s="258"/>
      <c r="D198" s="197">
        <f>(B140*(1-'5.Closing Stock &amp; W Capital'!$D$16))*$C198*D$172</f>
        <v>0</v>
      </c>
      <c r="E198" s="197">
        <f>((C140*(1-'5.Closing Stock &amp; W Capital'!$D$16))+(B140*'5.Closing Stock &amp; W Capital'!$D$16))*$C198*E$172</f>
        <v>0</v>
      </c>
      <c r="F198" s="197">
        <f>((D140*(1-'5.Closing Stock &amp; W Capital'!$D$16))+(C140*'5.Closing Stock &amp; W Capital'!$D$16))*$C198*F$172</f>
        <v>0</v>
      </c>
      <c r="G198" s="197">
        <f>((E140*(1-'5.Closing Stock &amp; W Capital'!$D$16))+(D140*'5.Closing Stock &amp; W Capital'!$D$16))*$C198*G$172</f>
        <v>0</v>
      </c>
      <c r="H198" s="197">
        <f>((F140*(1-'5.Closing Stock &amp; W Capital'!$D$16))+(E140*'5.Closing Stock &amp; W Capital'!$D$16))*$C198*H$172</f>
        <v>0</v>
      </c>
      <c r="I198" s="197">
        <f>((G140*(1-'5.Closing Stock &amp; W Capital'!$D$16))+(F140*'5.Closing Stock &amp; W Capital'!$D$16))*$C198*I$172</f>
        <v>0</v>
      </c>
      <c r="J198" s="197">
        <f>((H140*(1-'5.Closing Stock &amp; W Capital'!$D$16))+(G140*'5.Closing Stock &amp; W Capital'!$D$16))*$C198*J$172</f>
        <v>0</v>
      </c>
      <c r="K198" s="92"/>
      <c r="L198" s="92"/>
    </row>
    <row r="199" spans="1:12">
      <c r="A199" s="93"/>
      <c r="B199" s="93" t="s">
        <v>364</v>
      </c>
      <c r="C199" s="258"/>
      <c r="D199" s="197">
        <f>(B141*(1-'5.Closing Stock &amp; W Capital'!$D$16))*$C199*D$172</f>
        <v>0</v>
      </c>
      <c r="E199" s="197">
        <f>((C141*(1-'5.Closing Stock &amp; W Capital'!$D$16))+(B141*'5.Closing Stock &amp; W Capital'!$D$16))*$C199*E$172</f>
        <v>0</v>
      </c>
      <c r="F199" s="197">
        <f>((D141*(1-'5.Closing Stock &amp; W Capital'!$D$16))+(C141*'5.Closing Stock &amp; W Capital'!$D$16))*$C199*F$172</f>
        <v>0</v>
      </c>
      <c r="G199" s="197">
        <f>((E141*(1-'5.Closing Stock &amp; W Capital'!$D$16))+(D141*'5.Closing Stock &amp; W Capital'!$D$16))*$C199*G$172</f>
        <v>0</v>
      </c>
      <c r="H199" s="197">
        <f>((F141*(1-'5.Closing Stock &amp; W Capital'!$D$16))+(E141*'5.Closing Stock &amp; W Capital'!$D$16))*$C199*H$172</f>
        <v>0</v>
      </c>
      <c r="I199" s="197">
        <f>((G141*(1-'5.Closing Stock &amp; W Capital'!$D$16))+(F141*'5.Closing Stock &amp; W Capital'!$D$16))*$C199*I$172</f>
        <v>0</v>
      </c>
      <c r="J199" s="197">
        <f>((H141*(1-'5.Closing Stock &amp; W Capital'!$D$16))+(G141*'5.Closing Stock &amp; W Capital'!$D$16))*$C199*J$172</f>
        <v>0</v>
      </c>
      <c r="K199" s="92"/>
      <c r="L199" s="92"/>
    </row>
    <row r="200" spans="1:12">
      <c r="A200" s="95" t="s">
        <v>295</v>
      </c>
      <c r="B200" s="93" t="s">
        <v>364</v>
      </c>
      <c r="C200" s="235">
        <v>50</v>
      </c>
      <c r="D200" s="197">
        <f t="shared" ref="D200:J200" si="34">B65*$C$200*D172</f>
        <v>273725.76</v>
      </c>
      <c r="E200" s="197">
        <f t="shared" si="34"/>
        <v>323338.554</v>
      </c>
      <c r="F200" s="197">
        <f t="shared" si="34"/>
        <v>377228.31299999997</v>
      </c>
      <c r="G200" s="197">
        <f t="shared" si="34"/>
        <v>435698.70151500002</v>
      </c>
      <c r="H200" s="197">
        <f t="shared" si="34"/>
        <v>499073.05809900013</v>
      </c>
      <c r="I200" s="197">
        <f t="shared" si="34"/>
        <v>567695.60358761274</v>
      </c>
      <c r="J200" s="197">
        <f t="shared" si="34"/>
        <v>641932.7209798391</v>
      </c>
      <c r="K200" s="92"/>
      <c r="L200" s="92"/>
    </row>
    <row r="201" spans="1:12">
      <c r="A201" s="95"/>
      <c r="B201" s="95"/>
      <c r="C201" s="95"/>
      <c r="D201" s="93"/>
      <c r="E201" s="93"/>
      <c r="F201" s="93"/>
      <c r="G201" s="93"/>
      <c r="H201" s="93"/>
      <c r="I201" s="93"/>
      <c r="J201" s="93"/>
      <c r="K201" s="92"/>
      <c r="L201" s="92"/>
    </row>
    <row r="202" spans="1:12">
      <c r="A202" s="95" t="str">
        <f t="shared" ref="A202:A220" si="35">A143</f>
        <v>Fruit  &amp; Vegetables Crop Production Details</v>
      </c>
      <c r="B202" s="95"/>
      <c r="C202" s="95"/>
      <c r="D202" s="93"/>
      <c r="E202" s="93"/>
      <c r="F202" s="93"/>
      <c r="G202" s="93"/>
      <c r="H202" s="93"/>
      <c r="I202" s="93"/>
      <c r="J202" s="93"/>
      <c r="K202" s="92"/>
      <c r="L202" s="92"/>
    </row>
    <row r="203" spans="1:12">
      <c r="A203" s="95" t="str">
        <f t="shared" si="35"/>
        <v>Onion</v>
      </c>
      <c r="B203" s="93" t="s">
        <v>364</v>
      </c>
      <c r="C203" s="344">
        <v>2000</v>
      </c>
      <c r="D203" s="197">
        <f>(B144*(1-'5.Closing Stock &amp; W Capital'!$D$16))*$C203*D$172</f>
        <v>0</v>
      </c>
      <c r="E203" s="197">
        <f>((C144*(1-'5.Closing Stock &amp; W Capital'!$D$16))+(B144*'5.Closing Stock &amp; W Capital'!$D$16))*$C203*E$172</f>
        <v>0</v>
      </c>
      <c r="F203" s="197">
        <f>((D144*(1-'5.Closing Stock &amp; W Capital'!$D$16))+(C144*'5.Closing Stock &amp; W Capital'!$D$16))*$C203*F$172</f>
        <v>0</v>
      </c>
      <c r="G203" s="197">
        <f>((E144*(1-'5.Closing Stock &amp; W Capital'!$D$16))+(D144*'5.Closing Stock &amp; W Capital'!$D$16))*$C203*G$172</f>
        <v>0</v>
      </c>
      <c r="H203" s="197">
        <f>((F144*(1-'5.Closing Stock &amp; W Capital'!$D$16))+(E144*'5.Closing Stock &amp; W Capital'!$D$16))*$C203*H$172</f>
        <v>0</v>
      </c>
      <c r="I203" s="197">
        <f>((G144*(1-'5.Closing Stock &amp; W Capital'!$D$16))+(F144*'5.Closing Stock &amp; W Capital'!$D$16))*$C203*I$172</f>
        <v>0</v>
      </c>
      <c r="J203" s="197">
        <f>((H144*(1-'5.Closing Stock &amp; W Capital'!$D$16))+(G144*'5.Closing Stock &amp; W Capital'!$D$16))*$C203*J$172</f>
        <v>0</v>
      </c>
      <c r="K203" s="92"/>
      <c r="L203" s="92"/>
    </row>
    <row r="204" spans="1:12">
      <c r="A204" s="95" t="str">
        <f t="shared" si="35"/>
        <v>Tomato</v>
      </c>
      <c r="B204" s="93" t="s">
        <v>364</v>
      </c>
      <c r="C204" s="258">
        <v>1000</v>
      </c>
      <c r="D204" s="197">
        <f>(B145*(1-'5.Closing Stock &amp; W Capital'!$D$16))*$C204*D$172</f>
        <v>0</v>
      </c>
      <c r="E204" s="197">
        <f>((C145*(1-'5.Closing Stock &amp; W Capital'!$D$16))+(B145*'5.Closing Stock &amp; W Capital'!$D$16))*$C204*E$172</f>
        <v>0</v>
      </c>
      <c r="F204" s="197">
        <f>((D145*(1-'5.Closing Stock &amp; W Capital'!$D$16))+(C145*'5.Closing Stock &amp; W Capital'!$D$16))*$C204*F$172</f>
        <v>0</v>
      </c>
      <c r="G204" s="197">
        <f>((E145*(1-'5.Closing Stock &amp; W Capital'!$D$16))+(D145*'5.Closing Stock &amp; W Capital'!$D$16))*$C204*G$172</f>
        <v>0</v>
      </c>
      <c r="H204" s="197">
        <f>((F145*(1-'5.Closing Stock &amp; W Capital'!$D$16))+(E145*'5.Closing Stock &amp; W Capital'!$D$16))*$C204*H$172</f>
        <v>0</v>
      </c>
      <c r="I204" s="197">
        <f>((G145*(1-'5.Closing Stock &amp; W Capital'!$D$16))+(F145*'5.Closing Stock &amp; W Capital'!$D$16))*$C204*I$172</f>
        <v>0</v>
      </c>
      <c r="J204" s="197">
        <f>((H145*(1-'5.Closing Stock &amp; W Capital'!$D$16))+(G145*'5.Closing Stock &amp; W Capital'!$D$16))*$C204*J$172</f>
        <v>0</v>
      </c>
      <c r="K204" s="92"/>
      <c r="L204" s="92"/>
    </row>
    <row r="205" spans="1:12">
      <c r="A205" s="95" t="str">
        <f t="shared" si="35"/>
        <v>Okra</v>
      </c>
      <c r="B205" s="93" t="s">
        <v>364</v>
      </c>
      <c r="C205" s="258">
        <v>1500</v>
      </c>
      <c r="D205" s="197">
        <f>(B146*(1-'5.Closing Stock &amp; W Capital'!$D$16))*$C205*D$172</f>
        <v>0</v>
      </c>
      <c r="E205" s="197">
        <f>((C146*(1-'5.Closing Stock &amp; W Capital'!$D$16))+(B146*'5.Closing Stock &amp; W Capital'!$D$16))*$C205*E$172</f>
        <v>0</v>
      </c>
      <c r="F205" s="197">
        <f>((D146*(1-'5.Closing Stock &amp; W Capital'!$D$16))+(C146*'5.Closing Stock &amp; W Capital'!$D$16))*$C205*F$172</f>
        <v>0</v>
      </c>
      <c r="G205" s="197">
        <f>((E146*(1-'5.Closing Stock &amp; W Capital'!$D$16))+(D146*'5.Closing Stock &amp; W Capital'!$D$16))*$C205*G$172</f>
        <v>0</v>
      </c>
      <c r="H205" s="197">
        <f>((F146*(1-'5.Closing Stock &amp; W Capital'!$D$16))+(E146*'5.Closing Stock &amp; W Capital'!$D$16))*$C205*H$172</f>
        <v>0</v>
      </c>
      <c r="I205" s="197">
        <f>((G146*(1-'5.Closing Stock &amp; W Capital'!$D$16))+(F146*'5.Closing Stock &amp; W Capital'!$D$16))*$C205*I$172</f>
        <v>0</v>
      </c>
      <c r="J205" s="197">
        <f>((H146*(1-'5.Closing Stock &amp; W Capital'!$D$16))+(G146*'5.Closing Stock &amp; W Capital'!$D$16))*$C205*J$172</f>
        <v>0</v>
      </c>
      <c r="K205" s="92"/>
      <c r="L205" s="92"/>
    </row>
    <row r="206" spans="1:12">
      <c r="A206" s="95" t="str">
        <f t="shared" si="35"/>
        <v>Chilli</v>
      </c>
      <c r="B206" s="93" t="s">
        <v>364</v>
      </c>
      <c r="C206" s="258">
        <v>3000</v>
      </c>
      <c r="D206" s="197">
        <f>(B147*(1-'5.Closing Stock &amp; W Capital'!$D$16))*$C206*D$172</f>
        <v>0</v>
      </c>
      <c r="E206" s="197">
        <f>((C147*(1-'5.Closing Stock &amp; W Capital'!$D$16))+(B147*'5.Closing Stock &amp; W Capital'!$D$16))*$C206*E$172</f>
        <v>0</v>
      </c>
      <c r="F206" s="197">
        <f>((D147*(1-'5.Closing Stock &amp; W Capital'!$D$16))+(C147*'5.Closing Stock &amp; W Capital'!$D$16))*$C206*F$172</f>
        <v>0</v>
      </c>
      <c r="G206" s="197">
        <f>((E147*(1-'5.Closing Stock &amp; W Capital'!$D$16))+(D147*'5.Closing Stock &amp; W Capital'!$D$16))*$C206*G$172</f>
        <v>0</v>
      </c>
      <c r="H206" s="197">
        <f>((F147*(1-'5.Closing Stock &amp; W Capital'!$D$16))+(E147*'5.Closing Stock &amp; W Capital'!$D$16))*$C206*H$172</f>
        <v>0</v>
      </c>
      <c r="I206" s="197">
        <f>((G147*(1-'5.Closing Stock &amp; W Capital'!$D$16))+(F147*'5.Closing Stock &amp; W Capital'!$D$16))*$C206*I$172</f>
        <v>0</v>
      </c>
      <c r="J206" s="197">
        <f>((H147*(1-'5.Closing Stock &amp; W Capital'!$D$16))+(G147*'5.Closing Stock &amp; W Capital'!$D$16))*$C206*J$172</f>
        <v>0</v>
      </c>
      <c r="K206" s="92"/>
      <c r="L206" s="92"/>
    </row>
    <row r="207" spans="1:12">
      <c r="A207" s="95" t="str">
        <f t="shared" si="35"/>
        <v>Potato</v>
      </c>
      <c r="B207" s="93" t="s">
        <v>364</v>
      </c>
      <c r="C207" s="258">
        <v>1500</v>
      </c>
      <c r="D207" s="197">
        <f>(B148*(1-'5.Closing Stock &amp; W Capital'!$D$16))*$C207*D$172</f>
        <v>0</v>
      </c>
      <c r="E207" s="197">
        <f>((C148*(1-'5.Closing Stock &amp; W Capital'!$D$16))+(B148*'5.Closing Stock &amp; W Capital'!$D$16))*$C207*E$172</f>
        <v>0</v>
      </c>
      <c r="F207" s="197">
        <f>((D148*(1-'5.Closing Stock &amp; W Capital'!$D$16))+(C148*'5.Closing Stock &amp; W Capital'!$D$16))*$C207*F$172</f>
        <v>0</v>
      </c>
      <c r="G207" s="197">
        <f>((E148*(1-'5.Closing Stock &amp; W Capital'!$D$16))+(D148*'5.Closing Stock &amp; W Capital'!$D$16))*$C207*G$172</f>
        <v>0</v>
      </c>
      <c r="H207" s="197">
        <f>((F148*(1-'5.Closing Stock &amp; W Capital'!$D$16))+(E148*'5.Closing Stock &amp; W Capital'!$D$16))*$C207*H$172</f>
        <v>0</v>
      </c>
      <c r="I207" s="197">
        <f>((G148*(1-'5.Closing Stock &amp; W Capital'!$D$16))+(F148*'5.Closing Stock &amp; W Capital'!$D$16))*$C207*I$172</f>
        <v>0</v>
      </c>
      <c r="J207" s="197">
        <f>((H148*(1-'5.Closing Stock &amp; W Capital'!$D$16))+(G148*'5.Closing Stock &amp; W Capital'!$D$16))*$C207*J$172</f>
        <v>0</v>
      </c>
      <c r="K207" s="92"/>
      <c r="L207" s="92"/>
    </row>
    <row r="208" spans="1:12">
      <c r="A208" s="95">
        <f t="shared" si="35"/>
        <v>0</v>
      </c>
      <c r="B208" s="93" t="s">
        <v>364</v>
      </c>
      <c r="C208" s="235"/>
      <c r="D208" s="197">
        <f>(B149*(1-'5.Closing Stock &amp; W Capital'!$D$16))*$C208*D$172</f>
        <v>0</v>
      </c>
      <c r="E208" s="197">
        <f>((C149*(1-'5.Closing Stock &amp; W Capital'!$D$16))+(B149*'5.Closing Stock &amp; W Capital'!$D$16))*$C208*E$172</f>
        <v>0</v>
      </c>
      <c r="F208" s="197">
        <f>((D149*(1-'5.Closing Stock &amp; W Capital'!$D$16))+(C149*'5.Closing Stock &amp; W Capital'!$D$16))*$C208*F$172</f>
        <v>0</v>
      </c>
      <c r="G208" s="197">
        <f>((E149*(1-'5.Closing Stock &amp; W Capital'!$D$16))+(D149*'5.Closing Stock &amp; W Capital'!$D$16))*$C208*G$172</f>
        <v>0</v>
      </c>
      <c r="H208" s="197">
        <f>((F149*(1-'5.Closing Stock &amp; W Capital'!$D$16))+(E149*'5.Closing Stock &amp; W Capital'!$D$16))*$C208*H$172</f>
        <v>0</v>
      </c>
      <c r="I208" s="197">
        <f>((G149*(1-'5.Closing Stock &amp; W Capital'!$D$16))+(F149*'5.Closing Stock &amp; W Capital'!$D$16))*$C208*I$172</f>
        <v>0</v>
      </c>
      <c r="J208" s="197">
        <f>((H149*(1-'5.Closing Stock &amp; W Capital'!$D$16))+(G149*'5.Closing Stock &amp; W Capital'!$D$16))*$C208*J$172</f>
        <v>0</v>
      </c>
      <c r="K208" s="92"/>
      <c r="L208" s="92"/>
    </row>
    <row r="209" spans="1:12">
      <c r="A209" s="95">
        <f t="shared" si="35"/>
        <v>0</v>
      </c>
      <c r="B209" s="93" t="s">
        <v>364</v>
      </c>
      <c r="C209" s="235"/>
      <c r="D209" s="197">
        <f>(B150*(1-'5.Closing Stock &amp; W Capital'!$D$16))*$C209*D$172</f>
        <v>0</v>
      </c>
      <c r="E209" s="197">
        <f>((C150*(1-'5.Closing Stock &amp; W Capital'!$D$16))+(B150*'5.Closing Stock &amp; W Capital'!$D$16))*$C209*E$172</f>
        <v>0</v>
      </c>
      <c r="F209" s="197">
        <f>((D150*(1-'5.Closing Stock &amp; W Capital'!$D$16))+(C150*'5.Closing Stock &amp; W Capital'!$D$16))*$C209*F$172</f>
        <v>0</v>
      </c>
      <c r="G209" s="197">
        <f>((E150*(1-'5.Closing Stock &amp; W Capital'!$D$16))+(D150*'5.Closing Stock &amp; W Capital'!$D$16))*$C209*G$172</f>
        <v>0</v>
      </c>
      <c r="H209" s="197">
        <f>((F150*(1-'5.Closing Stock &amp; W Capital'!$D$16))+(E150*'5.Closing Stock &amp; W Capital'!$D$16))*$C209*H$172</f>
        <v>0</v>
      </c>
      <c r="I209" s="197">
        <f>((G150*(1-'5.Closing Stock &amp; W Capital'!$D$16))+(F150*'5.Closing Stock &amp; W Capital'!$D$16))*$C209*I$172</f>
        <v>0</v>
      </c>
      <c r="J209" s="197">
        <f>((H150*(1-'5.Closing Stock &amp; W Capital'!$D$16))+(G150*'5.Closing Stock &amp; W Capital'!$D$16))*$C209*J$172</f>
        <v>0</v>
      </c>
      <c r="K209" s="92"/>
      <c r="L209" s="92"/>
    </row>
    <row r="210" spans="1:12">
      <c r="A210" s="95">
        <f t="shared" si="35"/>
        <v>0</v>
      </c>
      <c r="B210" s="93" t="s">
        <v>364</v>
      </c>
      <c r="C210" s="235"/>
      <c r="D210" s="197">
        <f>(B151*(1-'5.Closing Stock &amp; W Capital'!$D$16))*$C210*D$172</f>
        <v>0</v>
      </c>
      <c r="E210" s="197">
        <f>((C151*(1-'5.Closing Stock &amp; W Capital'!$D$16))+(B151*'5.Closing Stock &amp; W Capital'!$D$16))*$C210*E$172</f>
        <v>0</v>
      </c>
      <c r="F210" s="197">
        <f>((D151*(1-'5.Closing Stock &amp; W Capital'!$D$16))+(C151*'5.Closing Stock &amp; W Capital'!$D$16))*$C210*F$172</f>
        <v>0</v>
      </c>
      <c r="G210" s="197">
        <f>((E151*(1-'5.Closing Stock &amp; W Capital'!$D$16))+(D151*'5.Closing Stock &amp; W Capital'!$D$16))*$C210*G$172</f>
        <v>0</v>
      </c>
      <c r="H210" s="197">
        <f>((F151*(1-'5.Closing Stock &amp; W Capital'!$D$16))+(E151*'5.Closing Stock &amp; W Capital'!$D$16))*$C210*H$172</f>
        <v>0</v>
      </c>
      <c r="I210" s="197">
        <f>((G151*(1-'5.Closing Stock &amp; W Capital'!$D$16))+(F151*'5.Closing Stock &amp; W Capital'!$D$16))*$C210*I$172</f>
        <v>0</v>
      </c>
      <c r="J210" s="197">
        <f>((H151*(1-'5.Closing Stock &amp; W Capital'!$D$16))+(G151*'5.Closing Stock &amp; W Capital'!$D$16))*$C210*J$172</f>
        <v>0</v>
      </c>
      <c r="K210" s="92"/>
      <c r="L210" s="92"/>
    </row>
    <row r="211" spans="1:12">
      <c r="A211" s="95">
        <f t="shared" si="35"/>
        <v>0</v>
      </c>
      <c r="B211" s="93" t="s">
        <v>364</v>
      </c>
      <c r="C211" s="235"/>
      <c r="D211" s="197">
        <f>(B152*(1-'5.Closing Stock &amp; W Capital'!$D$16))*$C211*D$172</f>
        <v>0</v>
      </c>
      <c r="E211" s="197">
        <f>((C152*(1-'5.Closing Stock &amp; W Capital'!$D$16))+(B152*'5.Closing Stock &amp; W Capital'!$D$16))*$C211*E$172</f>
        <v>0</v>
      </c>
      <c r="F211" s="197">
        <f>((D152*(1-'5.Closing Stock &amp; W Capital'!$D$16))+(C152*'5.Closing Stock &amp; W Capital'!$D$16))*$C211*F$172</f>
        <v>0</v>
      </c>
      <c r="G211" s="197">
        <f>((E152*(1-'5.Closing Stock &amp; W Capital'!$D$16))+(D152*'5.Closing Stock &amp; W Capital'!$D$16))*$C211*G$172</f>
        <v>0</v>
      </c>
      <c r="H211" s="197">
        <f>((F152*(1-'5.Closing Stock &amp; W Capital'!$D$16))+(E152*'5.Closing Stock &amp; W Capital'!$D$16))*$C211*H$172</f>
        <v>0</v>
      </c>
      <c r="I211" s="197">
        <f>((G152*(1-'5.Closing Stock &amp; W Capital'!$D$16))+(F152*'5.Closing Stock &amp; W Capital'!$D$16))*$C211*I$172</f>
        <v>0</v>
      </c>
      <c r="J211" s="197">
        <f>((H152*(1-'5.Closing Stock &amp; W Capital'!$D$16))+(G152*'5.Closing Stock &amp; W Capital'!$D$16))*$C211*J$172</f>
        <v>0</v>
      </c>
      <c r="K211" s="92"/>
      <c r="L211" s="92"/>
    </row>
    <row r="212" spans="1:12">
      <c r="A212" s="95" t="str">
        <f t="shared" si="35"/>
        <v>Onion</v>
      </c>
      <c r="B212" s="93" t="s">
        <v>364</v>
      </c>
      <c r="C212" s="258">
        <v>2000</v>
      </c>
      <c r="D212" s="197">
        <f>(B153*(1-'5.Closing Stock &amp; W Capital'!$D$16))*$C212*D$172</f>
        <v>0</v>
      </c>
      <c r="E212" s="197">
        <f>((C153*(1-'5.Closing Stock &amp; W Capital'!$D$16))+(B153*'5.Closing Stock &amp; W Capital'!$D$16))*$C212*E$172</f>
        <v>0</v>
      </c>
      <c r="F212" s="197">
        <f>((D153*(1-'5.Closing Stock &amp; W Capital'!$D$16))+(C153*'5.Closing Stock &amp; W Capital'!$D$16))*$C212*F$172</f>
        <v>0</v>
      </c>
      <c r="G212" s="197">
        <f>((E153*(1-'5.Closing Stock &amp; W Capital'!$D$16))+(D153*'5.Closing Stock &amp; W Capital'!$D$16))*$C212*G$172</f>
        <v>0</v>
      </c>
      <c r="H212" s="197">
        <f>((F153*(1-'5.Closing Stock &amp; W Capital'!$D$16))+(E153*'5.Closing Stock &amp; W Capital'!$D$16))*$C212*H$172</f>
        <v>0</v>
      </c>
      <c r="I212" s="197">
        <f>((G153*(1-'5.Closing Stock &amp; W Capital'!$D$16))+(F153*'5.Closing Stock &amp; W Capital'!$D$16))*$C212*I$172</f>
        <v>0</v>
      </c>
      <c r="J212" s="197">
        <f>((H153*(1-'5.Closing Stock &amp; W Capital'!$D$16))+(G153*'5.Closing Stock &amp; W Capital'!$D$16))*$C212*J$172</f>
        <v>0</v>
      </c>
      <c r="K212" s="92"/>
      <c r="L212" s="92"/>
    </row>
    <row r="213" spans="1:12">
      <c r="A213" s="95" t="str">
        <f t="shared" si="35"/>
        <v>Tomato</v>
      </c>
      <c r="B213" s="93" t="s">
        <v>364</v>
      </c>
      <c r="C213" s="258">
        <v>1000</v>
      </c>
      <c r="D213" s="197">
        <f>(B154*(1-'5.Closing Stock &amp; W Capital'!$D$16))*$C213*D$172</f>
        <v>0</v>
      </c>
      <c r="E213" s="197">
        <f>((C154*(1-'5.Closing Stock &amp; W Capital'!$D$16))+(B154*'5.Closing Stock &amp; W Capital'!$D$16))*$C213*E$172</f>
        <v>0</v>
      </c>
      <c r="F213" s="197">
        <f>((D154*(1-'5.Closing Stock &amp; W Capital'!$D$16))+(C154*'5.Closing Stock &amp; W Capital'!$D$16))*$C213*F$172</f>
        <v>0</v>
      </c>
      <c r="G213" s="197">
        <f>((E154*(1-'5.Closing Stock &amp; W Capital'!$D$16))+(D154*'5.Closing Stock &amp; W Capital'!$D$16))*$C213*G$172</f>
        <v>0</v>
      </c>
      <c r="H213" s="197">
        <f>((F154*(1-'5.Closing Stock &amp; W Capital'!$D$16))+(E154*'5.Closing Stock &amp; W Capital'!$D$16))*$C213*H$172</f>
        <v>0</v>
      </c>
      <c r="I213" s="197">
        <f>((G154*(1-'5.Closing Stock &amp; W Capital'!$D$16))+(F154*'5.Closing Stock &amp; W Capital'!$D$16))*$C213*I$172</f>
        <v>0</v>
      </c>
      <c r="J213" s="197">
        <f>((H154*(1-'5.Closing Stock &amp; W Capital'!$D$16))+(G154*'5.Closing Stock &amp; W Capital'!$D$16))*$C213*J$172</f>
        <v>0</v>
      </c>
      <c r="K213" s="92"/>
      <c r="L213" s="92"/>
    </row>
    <row r="214" spans="1:12">
      <c r="A214" s="95" t="str">
        <f t="shared" si="35"/>
        <v>Okra</v>
      </c>
      <c r="B214" s="93" t="s">
        <v>364</v>
      </c>
      <c r="C214" s="258">
        <v>1500</v>
      </c>
      <c r="D214" s="197">
        <f>(B155*(1-'5.Closing Stock &amp; W Capital'!$D$16))*$C214*D$172</f>
        <v>0</v>
      </c>
      <c r="E214" s="197">
        <f>((C155*(1-'5.Closing Stock &amp; W Capital'!$D$16))+(B155*'5.Closing Stock &amp; W Capital'!$D$16))*$C214*E$172</f>
        <v>0</v>
      </c>
      <c r="F214" s="197">
        <f>((D155*(1-'5.Closing Stock &amp; W Capital'!$D$16))+(C155*'5.Closing Stock &amp; W Capital'!$D$16))*$C214*F$172</f>
        <v>0</v>
      </c>
      <c r="G214" s="197">
        <f>((E155*(1-'5.Closing Stock &amp; W Capital'!$D$16))+(D155*'5.Closing Stock &amp; W Capital'!$D$16))*$C214*G$172</f>
        <v>0</v>
      </c>
      <c r="H214" s="197">
        <f>((F155*(1-'5.Closing Stock &amp; W Capital'!$D$16))+(E155*'5.Closing Stock &amp; W Capital'!$D$16))*$C214*H$172</f>
        <v>0</v>
      </c>
      <c r="I214" s="197">
        <f>((G155*(1-'5.Closing Stock &amp; W Capital'!$D$16))+(F155*'5.Closing Stock &amp; W Capital'!$D$16))*$C214*I$172</f>
        <v>0</v>
      </c>
      <c r="J214" s="197">
        <f>((H155*(1-'5.Closing Stock &amp; W Capital'!$D$16))+(G155*'5.Closing Stock &amp; W Capital'!$D$16))*$C214*J$172</f>
        <v>0</v>
      </c>
      <c r="K214" s="92"/>
      <c r="L214" s="92"/>
    </row>
    <row r="215" spans="1:12">
      <c r="A215" s="95" t="str">
        <f t="shared" si="35"/>
        <v>Chilli</v>
      </c>
      <c r="B215" s="93" t="s">
        <v>364</v>
      </c>
      <c r="C215" s="258">
        <v>3000</v>
      </c>
      <c r="D215" s="197">
        <f>(B156*(1-'5.Closing Stock &amp; W Capital'!$D$16))*$C215*D$172</f>
        <v>0</v>
      </c>
      <c r="E215" s="197">
        <f>((C156*(1-'5.Closing Stock &amp; W Capital'!$D$16))+(B156*'5.Closing Stock &amp; W Capital'!$D$16))*$C215*E$172</f>
        <v>0</v>
      </c>
      <c r="F215" s="197">
        <f>((D156*(1-'5.Closing Stock &amp; W Capital'!$D$16))+(C156*'5.Closing Stock &amp; W Capital'!$D$16))*$C215*F$172</f>
        <v>0</v>
      </c>
      <c r="G215" s="197">
        <f>((E156*(1-'5.Closing Stock &amp; W Capital'!$D$16))+(D156*'5.Closing Stock &amp; W Capital'!$D$16))*$C215*G$172</f>
        <v>0</v>
      </c>
      <c r="H215" s="197">
        <f>((F156*(1-'5.Closing Stock &amp; W Capital'!$D$16))+(E156*'5.Closing Stock &amp; W Capital'!$D$16))*$C215*H$172</f>
        <v>0</v>
      </c>
      <c r="I215" s="197">
        <f>((G156*(1-'5.Closing Stock &amp; W Capital'!$D$16))+(F156*'5.Closing Stock &amp; W Capital'!$D$16))*$C215*I$172</f>
        <v>0</v>
      </c>
      <c r="J215" s="197">
        <f>((H156*(1-'5.Closing Stock &amp; W Capital'!$D$16))+(G156*'5.Closing Stock &amp; W Capital'!$D$16))*$C215*J$172</f>
        <v>0</v>
      </c>
      <c r="K215" s="92"/>
      <c r="L215" s="92"/>
    </row>
    <row r="216" spans="1:12">
      <c r="A216" s="95" t="str">
        <f t="shared" si="35"/>
        <v>Brinjal</v>
      </c>
      <c r="B216" s="93" t="s">
        <v>364</v>
      </c>
      <c r="C216" s="258">
        <v>2000</v>
      </c>
      <c r="D216" s="197">
        <f>(B157*(1-'5.Closing Stock &amp; W Capital'!$D$16))*$C216*D$172</f>
        <v>0</v>
      </c>
      <c r="E216" s="197">
        <f>((C157*(1-'5.Closing Stock &amp; W Capital'!$D$16))+(B157*'5.Closing Stock &amp; W Capital'!$D$16))*$C216*E$172</f>
        <v>0</v>
      </c>
      <c r="F216" s="197">
        <f>((D157*(1-'5.Closing Stock &amp; W Capital'!$D$16))+(C157*'5.Closing Stock &amp; W Capital'!$D$16))*$C216*F$172</f>
        <v>0</v>
      </c>
      <c r="G216" s="197">
        <f>((E157*(1-'5.Closing Stock &amp; W Capital'!$D$16))+(D157*'5.Closing Stock &amp; W Capital'!$D$16))*$C216*G$172</f>
        <v>0</v>
      </c>
      <c r="H216" s="197">
        <f>((F157*(1-'5.Closing Stock &amp; W Capital'!$D$16))+(E157*'5.Closing Stock &amp; W Capital'!$D$16))*$C216*H$172</f>
        <v>0</v>
      </c>
      <c r="I216" s="197">
        <f>((G157*(1-'5.Closing Stock &amp; W Capital'!$D$16))+(F157*'5.Closing Stock &amp; W Capital'!$D$16))*$C216*I$172</f>
        <v>0</v>
      </c>
      <c r="J216" s="197">
        <f>((H157*(1-'5.Closing Stock &amp; W Capital'!$D$16))+(G157*'5.Closing Stock &amp; W Capital'!$D$16))*$C216*J$172</f>
        <v>0</v>
      </c>
      <c r="K216" s="92"/>
      <c r="L216" s="92"/>
    </row>
    <row r="217" spans="1:12">
      <c r="A217" s="95">
        <f t="shared" si="35"/>
        <v>0</v>
      </c>
      <c r="B217" s="93" t="s">
        <v>364</v>
      </c>
      <c r="C217" s="258"/>
      <c r="D217" s="197">
        <f>(B158*(1-'5.Closing Stock &amp; W Capital'!$D$16))*$C217*D$172</f>
        <v>0</v>
      </c>
      <c r="E217" s="197">
        <f>((C158*(1-'5.Closing Stock &amp; W Capital'!$D$16))+(B158*'5.Closing Stock &amp; W Capital'!$D$16))*$C217*E$172</f>
        <v>0</v>
      </c>
      <c r="F217" s="197">
        <f>((D158*(1-'5.Closing Stock &amp; W Capital'!$D$16))+(C158*'5.Closing Stock &amp; W Capital'!$D$16))*$C217*F$172</f>
        <v>0</v>
      </c>
      <c r="G217" s="197">
        <f>((E158*(1-'5.Closing Stock &amp; W Capital'!$D$16))+(D158*'5.Closing Stock &amp; W Capital'!$D$16))*$C217*G$172</f>
        <v>0</v>
      </c>
      <c r="H217" s="197">
        <f>((F158*(1-'5.Closing Stock &amp; W Capital'!$D$16))+(E158*'5.Closing Stock &amp; W Capital'!$D$16))*$C217*H$172</f>
        <v>0</v>
      </c>
      <c r="I217" s="197">
        <f>((G158*(1-'5.Closing Stock &amp; W Capital'!$D$16))+(F158*'5.Closing Stock &amp; W Capital'!$D$16))*$C217*I$172</f>
        <v>0</v>
      </c>
      <c r="J217" s="197">
        <f>((H158*(1-'5.Closing Stock &amp; W Capital'!$D$16))+(G158*'5.Closing Stock &amp; W Capital'!$D$16))*$C217*J$172</f>
        <v>0</v>
      </c>
      <c r="K217" s="92"/>
      <c r="L217" s="92"/>
    </row>
    <row r="218" spans="1:12">
      <c r="A218" s="95">
        <f t="shared" si="35"/>
        <v>0</v>
      </c>
      <c r="B218" s="93" t="s">
        <v>364</v>
      </c>
      <c r="C218" s="258"/>
      <c r="D218" s="197">
        <f>(B159*(1-'5.Closing Stock &amp; W Capital'!$D$16))*$C218*D$172</f>
        <v>0</v>
      </c>
      <c r="E218" s="197">
        <f>((C159*(1-'5.Closing Stock &amp; W Capital'!$D$16))+(B159*'5.Closing Stock &amp; W Capital'!$D$16))*$C218*E$172</f>
        <v>0</v>
      </c>
      <c r="F218" s="197">
        <f>((D159*(1-'5.Closing Stock &amp; W Capital'!$D$16))+(C159*'5.Closing Stock &amp; W Capital'!$D$16))*$C218*F$172</f>
        <v>0</v>
      </c>
      <c r="G218" s="197">
        <f>((E159*(1-'5.Closing Stock &amp; W Capital'!$D$16))+(D159*'5.Closing Stock &amp; W Capital'!$D$16))*$C218*G$172</f>
        <v>0</v>
      </c>
      <c r="H218" s="197">
        <f>((F159*(1-'5.Closing Stock &amp; W Capital'!$D$16))+(E159*'5.Closing Stock &amp; W Capital'!$D$16))*$C218*H$172</f>
        <v>0</v>
      </c>
      <c r="I218" s="197">
        <f>((G159*(1-'5.Closing Stock &amp; W Capital'!$D$16))+(F159*'5.Closing Stock &amp; W Capital'!$D$16))*$C218*I$172</f>
        <v>0</v>
      </c>
      <c r="J218" s="197">
        <f>((H159*(1-'5.Closing Stock &amp; W Capital'!$D$16))+(G159*'5.Closing Stock &amp; W Capital'!$D$16))*$C218*J$172</f>
        <v>0</v>
      </c>
      <c r="K218" s="92"/>
      <c r="L218" s="92"/>
    </row>
    <row r="219" spans="1:12">
      <c r="A219" s="95">
        <f t="shared" si="35"/>
        <v>0</v>
      </c>
      <c r="B219" s="93" t="s">
        <v>364</v>
      </c>
      <c r="C219" s="258"/>
      <c r="D219" s="197">
        <f>(B160*(1-'5.Closing Stock &amp; W Capital'!$D$16))*$C219*D$172</f>
        <v>0</v>
      </c>
      <c r="E219" s="197">
        <f>((C160*(1-'5.Closing Stock &amp; W Capital'!$D$16))+(B160*'5.Closing Stock &amp; W Capital'!$D$16))*$C219*E$172</f>
        <v>0</v>
      </c>
      <c r="F219" s="197">
        <f>((D160*(1-'5.Closing Stock &amp; W Capital'!$D$16))+(C160*'5.Closing Stock &amp; W Capital'!$D$16))*$C219*F$172</f>
        <v>0</v>
      </c>
      <c r="G219" s="197">
        <f>((E160*(1-'5.Closing Stock &amp; W Capital'!$D$16))+(D160*'5.Closing Stock &amp; W Capital'!$D$16))*$C219*G$172</f>
        <v>0</v>
      </c>
      <c r="H219" s="197">
        <f>((F160*(1-'5.Closing Stock &amp; W Capital'!$D$16))+(E160*'5.Closing Stock &amp; W Capital'!$D$16))*$C219*H$172</f>
        <v>0</v>
      </c>
      <c r="I219" s="197">
        <f>((G160*(1-'5.Closing Stock &amp; W Capital'!$D$16))+(F160*'5.Closing Stock &amp; W Capital'!$D$16))*$C219*I$172</f>
        <v>0</v>
      </c>
      <c r="J219" s="197">
        <f>((H160*(1-'5.Closing Stock &amp; W Capital'!$D$16))+(G160*'5.Closing Stock &amp; W Capital'!$D$16))*$C219*J$172</f>
        <v>0</v>
      </c>
      <c r="K219" s="92"/>
      <c r="L219" s="92"/>
    </row>
    <row r="220" spans="1:12">
      <c r="A220" s="95">
        <f t="shared" si="35"/>
        <v>0</v>
      </c>
      <c r="B220" s="93" t="s">
        <v>364</v>
      </c>
      <c r="C220" s="258"/>
      <c r="D220" s="197">
        <f>(B161*(1-'5.Closing Stock &amp; W Capital'!$D$16))*$C220*D$172</f>
        <v>0</v>
      </c>
      <c r="E220" s="197">
        <f>((C161*(1-'5.Closing Stock &amp; W Capital'!$D$16))+(B161*'5.Closing Stock &amp; W Capital'!$D$16))*$C220*E$172</f>
        <v>0</v>
      </c>
      <c r="F220" s="197">
        <f>((D161*(1-'5.Closing Stock &amp; W Capital'!$D$16))+(C161*'5.Closing Stock &amp; W Capital'!$D$16))*$C220*F$172</f>
        <v>0</v>
      </c>
      <c r="G220" s="197">
        <f>((E161*(1-'5.Closing Stock &amp; W Capital'!$D$16))+(D161*'5.Closing Stock &amp; W Capital'!$D$16))*$C220*G$172</f>
        <v>0</v>
      </c>
      <c r="H220" s="197">
        <f>((F161*(1-'5.Closing Stock &amp; W Capital'!$D$16))+(E161*'5.Closing Stock &amp; W Capital'!$D$16))*$C220*H$172</f>
        <v>0</v>
      </c>
      <c r="I220" s="197">
        <f>((G161*(1-'5.Closing Stock &amp; W Capital'!$D$16))+(F161*'5.Closing Stock &amp; W Capital'!$D$16))*$C220*I$172</f>
        <v>0</v>
      </c>
      <c r="J220" s="197">
        <f>((H161*(1-'5.Closing Stock &amp; W Capital'!$D$16))+(G161*'5.Closing Stock &amp; W Capital'!$D$16))*$C220*J$172</f>
        <v>0</v>
      </c>
      <c r="K220" s="92"/>
      <c r="L220" s="92"/>
    </row>
    <row r="221" spans="1:12">
      <c r="A221" s="95">
        <f t="shared" ref="A221:A223" si="36">A162</f>
        <v>0</v>
      </c>
      <c r="B221" s="93" t="s">
        <v>364</v>
      </c>
      <c r="C221" s="258"/>
      <c r="D221" s="197">
        <f>(B162*(1-'5.Closing Stock &amp; W Capital'!$D$16))*$C221*D$172</f>
        <v>0</v>
      </c>
      <c r="E221" s="197">
        <f>((C162*(1-'5.Closing Stock &amp; W Capital'!$D$16))+(B162*'5.Closing Stock &amp; W Capital'!$D$16))*$C221*E$172</f>
        <v>0</v>
      </c>
      <c r="F221" s="197">
        <f>((D162*(1-'5.Closing Stock &amp; W Capital'!$D$16))+(C162*'5.Closing Stock &amp; W Capital'!$D$16))*$C221*F$172</f>
        <v>0</v>
      </c>
      <c r="G221" s="197">
        <f>((E162*(1-'5.Closing Stock &amp; W Capital'!$D$16))+(D162*'5.Closing Stock &amp; W Capital'!$D$16))*$C221*G$172</f>
        <v>0</v>
      </c>
      <c r="H221" s="197">
        <f>((F162*(1-'5.Closing Stock &amp; W Capital'!$D$16))+(E162*'5.Closing Stock &amp; W Capital'!$D$16))*$C221*H$172</f>
        <v>0</v>
      </c>
      <c r="I221" s="197">
        <f>((G162*(1-'5.Closing Stock &amp; W Capital'!$D$16))+(F162*'5.Closing Stock &amp; W Capital'!$D$16))*$C221*I$172</f>
        <v>0</v>
      </c>
      <c r="J221" s="197">
        <f>((H162*(1-'5.Closing Stock &amp; W Capital'!$D$16))+(G162*'5.Closing Stock &amp; W Capital'!$D$16))*$C221*J$172</f>
        <v>0</v>
      </c>
      <c r="K221" s="92"/>
      <c r="L221" s="92"/>
    </row>
    <row r="222" spans="1:12">
      <c r="A222" s="95">
        <f t="shared" si="36"/>
        <v>0</v>
      </c>
      <c r="B222" s="93" t="s">
        <v>364</v>
      </c>
      <c r="C222" s="258"/>
      <c r="D222" s="197">
        <f>(B163*(1-'5.Closing Stock &amp; W Capital'!$D$16))*$C222*D$172</f>
        <v>0</v>
      </c>
      <c r="E222" s="197">
        <f>((C163*(1-'5.Closing Stock &amp; W Capital'!$D$16))+(B163*'5.Closing Stock &amp; W Capital'!$D$16))*$C222*E$172</f>
        <v>0</v>
      </c>
      <c r="F222" s="197">
        <f>((D163*(1-'5.Closing Stock &amp; W Capital'!$D$16))+(C163*'5.Closing Stock &amp; W Capital'!$D$16))*$C222*F$172</f>
        <v>0</v>
      </c>
      <c r="G222" s="197">
        <f>((E163*(1-'5.Closing Stock &amp; W Capital'!$D$16))+(D163*'5.Closing Stock &amp; W Capital'!$D$16))*$C222*G$172</f>
        <v>0</v>
      </c>
      <c r="H222" s="197">
        <f>((F163*(1-'5.Closing Stock &amp; W Capital'!$D$16))+(E163*'5.Closing Stock &amp; W Capital'!$D$16))*$C222*H$172</f>
        <v>0</v>
      </c>
      <c r="I222" s="197">
        <f>((G163*(1-'5.Closing Stock &amp; W Capital'!$D$16))+(F163*'5.Closing Stock &amp; W Capital'!$D$16))*$C222*I$172</f>
        <v>0</v>
      </c>
      <c r="J222" s="197">
        <f>((H163*(1-'5.Closing Stock &amp; W Capital'!$D$16))+(G163*'5.Closing Stock &amp; W Capital'!$D$16))*$C222*J$172</f>
        <v>0</v>
      </c>
      <c r="K222" s="92"/>
      <c r="L222" s="92"/>
    </row>
    <row r="223" spans="1:12">
      <c r="A223" s="95">
        <f t="shared" si="36"/>
        <v>0</v>
      </c>
      <c r="B223" s="93" t="s">
        <v>364</v>
      </c>
      <c r="C223" s="258"/>
      <c r="D223" s="197">
        <f>(B164*(1-'5.Closing Stock &amp; W Capital'!$D$16))*$C223*D$172</f>
        <v>0</v>
      </c>
      <c r="E223" s="197">
        <f>((C164*(1-'5.Closing Stock &amp; W Capital'!$D$16))+(B164*'5.Closing Stock &amp; W Capital'!$D$16))*$C223*E$172</f>
        <v>0</v>
      </c>
      <c r="F223" s="197">
        <f>((D164*(1-'5.Closing Stock &amp; W Capital'!$D$16))+(C164*'5.Closing Stock &amp; W Capital'!$D$16))*$C223*F$172</f>
        <v>0</v>
      </c>
      <c r="G223" s="197">
        <f>((E164*(1-'5.Closing Stock &amp; W Capital'!$D$16))+(D164*'5.Closing Stock &amp; W Capital'!$D$16))*$C223*G$172</f>
        <v>0</v>
      </c>
      <c r="H223" s="197">
        <f>((F164*(1-'5.Closing Stock &amp; W Capital'!$D$16))+(E164*'5.Closing Stock &amp; W Capital'!$D$16))*$C223*H$172</f>
        <v>0</v>
      </c>
      <c r="I223" s="197">
        <f>((G164*(1-'5.Closing Stock &amp; W Capital'!$D$16))+(F164*'5.Closing Stock &amp; W Capital'!$D$16))*$C223*I$172</f>
        <v>0</v>
      </c>
      <c r="J223" s="197">
        <f>((H164*(1-'5.Closing Stock &amp; W Capital'!$D$16))+(G164*'5.Closing Stock &amp; W Capital'!$D$16))*$C223*J$172</f>
        <v>0</v>
      </c>
      <c r="K223" s="92"/>
      <c r="L223" s="92"/>
    </row>
    <row r="224" spans="1:12">
      <c r="A224" s="95" t="str">
        <f t="shared" ref="A224:A227" si="37">A165</f>
        <v>Pomegranate</v>
      </c>
      <c r="B224" s="93" t="s">
        <v>364</v>
      </c>
      <c r="C224" s="258">
        <v>5000</v>
      </c>
      <c r="D224" s="197">
        <f>(B165*(1-'5.Closing Stock &amp; W Capital'!$D$16))*$C224*D$172</f>
        <v>0</v>
      </c>
      <c r="E224" s="197">
        <f>((C165*(1-'5.Closing Stock &amp; W Capital'!$D$16))+(B165*'5.Closing Stock &amp; W Capital'!$D$16))*$C224*E$172</f>
        <v>0</v>
      </c>
      <c r="F224" s="197">
        <f>((D165*(1-'5.Closing Stock &amp; W Capital'!$D$16))+(C165*'5.Closing Stock &amp; W Capital'!$D$16))*$C224*F$172</f>
        <v>0</v>
      </c>
      <c r="G224" s="197">
        <f>((E165*(1-'5.Closing Stock &amp; W Capital'!$D$16))+(D165*'5.Closing Stock &amp; W Capital'!$D$16))*$C224*G$172</f>
        <v>0</v>
      </c>
      <c r="H224" s="197">
        <f>((F165*(1-'5.Closing Stock &amp; W Capital'!$D$16))+(E165*'5.Closing Stock &amp; W Capital'!$D$16))*$C224*H$172</f>
        <v>0</v>
      </c>
      <c r="I224" s="197">
        <f>((G165*(1-'5.Closing Stock &amp; W Capital'!$D$16))+(F165*'5.Closing Stock &amp; W Capital'!$D$16))*$C224*I$172</f>
        <v>0</v>
      </c>
      <c r="J224" s="197">
        <f>((H165*(1-'5.Closing Stock &amp; W Capital'!$D$16))+(G165*'5.Closing Stock &amp; W Capital'!$D$16))*$C224*J$172</f>
        <v>0</v>
      </c>
      <c r="K224" s="92"/>
      <c r="L224" s="92"/>
    </row>
    <row r="225" spans="1:12">
      <c r="A225" s="95" t="str">
        <f t="shared" si="37"/>
        <v>Custard Apple</v>
      </c>
      <c r="B225" s="93" t="s">
        <v>364</v>
      </c>
      <c r="C225" s="258"/>
      <c r="D225" s="197">
        <f>(B166*(1-'5.Closing Stock &amp; W Capital'!$D$16))*$C225*D$172</f>
        <v>0</v>
      </c>
      <c r="E225" s="197">
        <f>((C166*(1-'5.Closing Stock &amp; W Capital'!$D$16))+(B166*'5.Closing Stock &amp; W Capital'!$D$16))*$C225*E$172</f>
        <v>0</v>
      </c>
      <c r="F225" s="197">
        <f>((D166*(1-'5.Closing Stock &amp; W Capital'!$D$16))+(C166*'5.Closing Stock &amp; W Capital'!$D$16))*$C225*F$172</f>
        <v>0</v>
      </c>
      <c r="G225" s="197">
        <f>((E166*(1-'5.Closing Stock &amp; W Capital'!$D$16))+(D166*'5.Closing Stock &amp; W Capital'!$D$16))*$C225*G$172</f>
        <v>0</v>
      </c>
      <c r="H225" s="197">
        <f>((F166*(1-'5.Closing Stock &amp; W Capital'!$D$16))+(E166*'5.Closing Stock &amp; W Capital'!$D$16))*$C225*H$172</f>
        <v>0</v>
      </c>
      <c r="I225" s="197">
        <f>((G166*(1-'5.Closing Stock &amp; W Capital'!$D$16))+(F166*'5.Closing Stock &amp; W Capital'!$D$16))*$C225*I$172</f>
        <v>0</v>
      </c>
      <c r="J225" s="197">
        <f>((H166*(1-'5.Closing Stock &amp; W Capital'!$D$16))+(G166*'5.Closing Stock &amp; W Capital'!$D$16))*$C225*J$172</f>
        <v>0</v>
      </c>
      <c r="K225" s="92"/>
      <c r="L225" s="92"/>
    </row>
    <row r="226" spans="1:12">
      <c r="A226" s="95" t="str">
        <f t="shared" si="37"/>
        <v>Guava</v>
      </c>
      <c r="B226" s="93" t="s">
        <v>364</v>
      </c>
      <c r="C226" s="258"/>
      <c r="D226" s="197">
        <f>(B167*(1-'5.Closing Stock &amp; W Capital'!$D$16))*$C226*D$172</f>
        <v>0</v>
      </c>
      <c r="E226" s="197">
        <f>((C167*(1-'5.Closing Stock &amp; W Capital'!$D$16))+(B167*'5.Closing Stock &amp; W Capital'!$D$16))*$C226*E$172</f>
        <v>0</v>
      </c>
      <c r="F226" s="197">
        <f>((D167*(1-'5.Closing Stock &amp; W Capital'!$D$16))+(C167*'5.Closing Stock &amp; W Capital'!$D$16))*$C226*F$172</f>
        <v>0</v>
      </c>
      <c r="G226" s="197">
        <f>((E167*(1-'5.Closing Stock &amp; W Capital'!$D$16))+(D167*'5.Closing Stock &amp; W Capital'!$D$16))*$C226*G$172</f>
        <v>0</v>
      </c>
      <c r="H226" s="197">
        <f>((F167*(1-'5.Closing Stock &amp; W Capital'!$D$16))+(E167*'5.Closing Stock &amp; W Capital'!$D$16))*$C226*H$172</f>
        <v>0</v>
      </c>
      <c r="I226" s="197">
        <f>((G167*(1-'5.Closing Stock &amp; W Capital'!$D$16))+(F167*'5.Closing Stock &amp; W Capital'!$D$16))*$C226*I$172</f>
        <v>0</v>
      </c>
      <c r="J226" s="197">
        <f>((H167*(1-'5.Closing Stock &amp; W Capital'!$D$16))+(G167*'5.Closing Stock &amp; W Capital'!$D$16))*$C226*J$172</f>
        <v>0</v>
      </c>
      <c r="K226" s="92"/>
      <c r="L226" s="92"/>
    </row>
    <row r="227" spans="1:12">
      <c r="A227" s="95" t="str">
        <f t="shared" si="37"/>
        <v>Citrus</v>
      </c>
      <c r="B227" s="93" t="s">
        <v>364</v>
      </c>
      <c r="C227" s="258"/>
      <c r="D227" s="197">
        <f>(B168*(1-'5.Closing Stock &amp; W Capital'!$D$16))*$C227*D$172</f>
        <v>0</v>
      </c>
      <c r="E227" s="197">
        <f>((C168*(1-'5.Closing Stock &amp; W Capital'!$D$16))+(B168*'5.Closing Stock &amp; W Capital'!$D$16))*$C227*E$172</f>
        <v>0</v>
      </c>
      <c r="F227" s="197">
        <f>((D168*(1-'5.Closing Stock &amp; W Capital'!$D$16))+(C168*'5.Closing Stock &amp; W Capital'!$D$16))*$C227*F$172</f>
        <v>0</v>
      </c>
      <c r="G227" s="197">
        <f>((E168*(1-'5.Closing Stock &amp; W Capital'!$D$16))+(D168*'5.Closing Stock &amp; W Capital'!$D$16))*$C227*G$172</f>
        <v>0</v>
      </c>
      <c r="H227" s="197">
        <f>((F168*(1-'5.Closing Stock &amp; W Capital'!$D$16))+(E168*'5.Closing Stock &amp; W Capital'!$D$16))*$C227*H$172</f>
        <v>0</v>
      </c>
      <c r="I227" s="197">
        <f>((G168*(1-'5.Closing Stock &amp; W Capital'!$D$16))+(F168*'5.Closing Stock &amp; W Capital'!$D$16))*$C227*I$172</f>
        <v>0</v>
      </c>
      <c r="J227" s="197">
        <f>((H168*(1-'5.Closing Stock &amp; W Capital'!$D$16))+(G168*'5.Closing Stock &amp; W Capital'!$D$16))*$C227*J$172</f>
        <v>0</v>
      </c>
      <c r="K227" s="92"/>
      <c r="L227" s="92"/>
    </row>
    <row r="228" spans="1:12">
      <c r="A228" s="95"/>
      <c r="B228" s="95"/>
      <c r="C228" s="95"/>
      <c r="D228" s="93"/>
      <c r="E228" s="93"/>
      <c r="F228" s="93"/>
      <c r="G228" s="93"/>
      <c r="H228" s="93"/>
      <c r="I228" s="93"/>
      <c r="J228" s="93"/>
      <c r="K228" s="92"/>
      <c r="L228" s="92"/>
    </row>
    <row r="229" spans="1:12">
      <c r="A229" s="95" t="s">
        <v>143</v>
      </c>
      <c r="B229" s="95"/>
      <c r="C229" s="95"/>
      <c r="D229" s="199">
        <f>SUM(D178:D228)</f>
        <v>30388797.094656002</v>
      </c>
      <c r="E229" s="199">
        <f t="shared" ref="E229:J229" si="38">SUM(E178:E228)</f>
        <v>36542089.525233597</v>
      </c>
      <c r="F229" s="199">
        <f t="shared" si="38"/>
        <v>42641848.739231281</v>
      </c>
      <c r="G229" s="199">
        <f t="shared" si="38"/>
        <v>49260228.650815636</v>
      </c>
      <c r="H229" s="199">
        <f t="shared" si="38"/>
        <v>56433841.931710385</v>
      </c>
      <c r="I229" s="199">
        <f t="shared" si="38"/>
        <v>64201665.969067559</v>
      </c>
      <c r="J229" s="199">
        <f t="shared" si="38"/>
        <v>72605187.805331156</v>
      </c>
      <c r="K229" s="92"/>
      <c r="L229" s="92"/>
    </row>
    <row r="230" spans="1:12">
      <c r="A230" s="93"/>
      <c r="B230" s="93"/>
      <c r="C230" s="93"/>
      <c r="D230" s="93"/>
      <c r="E230" s="93"/>
      <c r="F230" s="93"/>
      <c r="G230" s="93"/>
      <c r="H230" s="93"/>
      <c r="I230" s="93"/>
      <c r="J230" s="93"/>
      <c r="K230" s="92"/>
      <c r="L230" s="92"/>
    </row>
    <row r="231" spans="1:12">
      <c r="A231" s="95" t="s">
        <v>142</v>
      </c>
      <c r="B231" s="95"/>
      <c r="C231" s="95"/>
      <c r="D231" s="93"/>
      <c r="E231" s="93"/>
      <c r="F231" s="93"/>
      <c r="G231" s="93"/>
      <c r="H231" s="93"/>
      <c r="I231" s="93"/>
      <c r="J231" s="93"/>
      <c r="K231" s="92"/>
      <c r="L231" s="92"/>
    </row>
    <row r="232" spans="1:12">
      <c r="A232" s="95" t="s">
        <v>313</v>
      </c>
      <c r="B232" s="95"/>
      <c r="C232" s="93"/>
      <c r="D232" s="93"/>
      <c r="E232" s="93"/>
      <c r="F232" s="93"/>
      <c r="G232" s="93"/>
      <c r="H232" s="93"/>
      <c r="I232" s="93"/>
      <c r="J232" s="93"/>
      <c r="K232" s="92"/>
      <c r="L232" s="92"/>
    </row>
    <row r="233" spans="1:12">
      <c r="A233" s="93" t="str">
        <f t="shared" ref="A233:A254" si="39">A178</f>
        <v>Soybean</v>
      </c>
      <c r="B233" s="93" t="s">
        <v>364</v>
      </c>
      <c r="C233" s="254">
        <v>5250</v>
      </c>
      <c r="D233" s="94">
        <f>B68*$C$233*D$172</f>
        <v>21954240</v>
      </c>
      <c r="E233" s="94">
        <f>C68*$C$233*E$172</f>
        <v>25933445.999999996</v>
      </c>
      <c r="F233" s="94">
        <f>D68*$C$233*F172</f>
        <v>30255687</v>
      </c>
      <c r="G233" s="94">
        <f>E68*$C$233*G172</f>
        <v>34945318.485000007</v>
      </c>
      <c r="H233" s="94">
        <f>F68*$C$233*H172</f>
        <v>40028273.901000008</v>
      </c>
      <c r="I233" s="94">
        <f>G68*$C$233*I172</f>
        <v>45532161.562387519</v>
      </c>
      <c r="J233" s="94">
        <f>H68*$C$233*J172</f>
        <v>51486367.305161275</v>
      </c>
      <c r="K233" s="92"/>
      <c r="L233" s="92"/>
    </row>
    <row r="234" spans="1:12">
      <c r="A234" s="93" t="str">
        <f t="shared" si="39"/>
        <v>Red Gram/Tur</v>
      </c>
      <c r="B234" s="93" t="s">
        <v>364</v>
      </c>
      <c r="C234" s="254">
        <v>5600</v>
      </c>
      <c r="D234" s="94">
        <f>B69*$C$234*D$172</f>
        <v>1685376</v>
      </c>
      <c r="E234" s="94">
        <f t="shared" ref="E234:J234" si="40">C69*$C$234*E172</f>
        <v>1990850.3999999997</v>
      </c>
      <c r="F234" s="94">
        <f t="shared" si="40"/>
        <v>2322658.7999999993</v>
      </c>
      <c r="G234" s="94">
        <f t="shared" si="40"/>
        <v>2682670.9139999999</v>
      </c>
      <c r="H234" s="94">
        <f t="shared" si="40"/>
        <v>3072877.5924000004</v>
      </c>
      <c r="I234" s="94">
        <f t="shared" si="40"/>
        <v>3495398.261355001</v>
      </c>
      <c r="J234" s="94">
        <f t="shared" si="40"/>
        <v>3952488.8032245017</v>
      </c>
      <c r="K234" s="92"/>
      <c r="L234" s="92"/>
    </row>
    <row r="235" spans="1:12">
      <c r="A235" s="93" t="str">
        <f t="shared" si="39"/>
        <v>Paddy/Rice</v>
      </c>
      <c r="B235" s="93" t="s">
        <v>364</v>
      </c>
      <c r="C235" s="254"/>
      <c r="D235" s="94">
        <f>B70*$C$235*D$172</f>
        <v>0</v>
      </c>
      <c r="E235" s="94">
        <f t="shared" ref="E235:J235" si="41">C70*$C$235*E172</f>
        <v>0</v>
      </c>
      <c r="F235" s="94">
        <f t="shared" si="41"/>
        <v>0</v>
      </c>
      <c r="G235" s="94">
        <f t="shared" si="41"/>
        <v>0</v>
      </c>
      <c r="H235" s="94">
        <f t="shared" si="41"/>
        <v>0</v>
      </c>
      <c r="I235" s="94">
        <f t="shared" si="41"/>
        <v>0</v>
      </c>
      <c r="J235" s="94">
        <f t="shared" si="41"/>
        <v>0</v>
      </c>
      <c r="K235" s="92"/>
      <c r="L235" s="92"/>
    </row>
    <row r="236" spans="1:12">
      <c r="A236" s="93" t="str">
        <f t="shared" si="39"/>
        <v>Green Gram/ Moong</v>
      </c>
      <c r="B236" s="93" t="s">
        <v>364</v>
      </c>
      <c r="C236" s="254">
        <v>5700</v>
      </c>
      <c r="D236" s="94">
        <f t="shared" ref="D236:J236" si="42">B71*$C$236*D$172</f>
        <v>75240</v>
      </c>
      <c r="E236" s="94">
        <f t="shared" si="42"/>
        <v>88877.25</v>
      </c>
      <c r="F236" s="94">
        <f t="shared" si="42"/>
        <v>103690.125</v>
      </c>
      <c r="G236" s="94">
        <f t="shared" si="42"/>
        <v>119762.09437500003</v>
      </c>
      <c r="H236" s="94">
        <f t="shared" si="42"/>
        <v>137182.03537500006</v>
      </c>
      <c r="I236" s="94">
        <f t="shared" si="42"/>
        <v>156044.56523906256</v>
      </c>
      <c r="J236" s="94">
        <f t="shared" si="42"/>
        <v>176450.39300109385</v>
      </c>
      <c r="K236" s="92"/>
      <c r="L236" s="92"/>
    </row>
    <row r="237" spans="1:12">
      <c r="A237" s="93" t="str">
        <f t="shared" si="39"/>
        <v>Maize</v>
      </c>
      <c r="B237" s="93" t="s">
        <v>364</v>
      </c>
      <c r="C237" s="254"/>
      <c r="D237" s="94">
        <f t="shared" ref="D237:J237" si="43">B72*$C$237*D$172</f>
        <v>0</v>
      </c>
      <c r="E237" s="94">
        <f t="shared" si="43"/>
        <v>0</v>
      </c>
      <c r="F237" s="94">
        <f t="shared" si="43"/>
        <v>0</v>
      </c>
      <c r="G237" s="94">
        <f t="shared" si="43"/>
        <v>0</v>
      </c>
      <c r="H237" s="94">
        <f t="shared" si="43"/>
        <v>0</v>
      </c>
      <c r="I237" s="94">
        <f t="shared" si="43"/>
        <v>0</v>
      </c>
      <c r="J237" s="94">
        <f t="shared" si="43"/>
        <v>0</v>
      </c>
      <c r="K237" s="92"/>
      <c r="L237" s="92"/>
    </row>
    <row r="238" spans="1:12">
      <c r="A238" s="93" t="str">
        <f t="shared" si="39"/>
        <v>Black Gram/Udid</v>
      </c>
      <c r="B238" s="93" t="s">
        <v>364</v>
      </c>
      <c r="C238" s="254">
        <v>6200</v>
      </c>
      <c r="D238" s="94">
        <f t="shared" ref="D238:J238" si="44">B73*$C$238*D$172</f>
        <v>0</v>
      </c>
      <c r="E238" s="94">
        <f t="shared" si="44"/>
        <v>0</v>
      </c>
      <c r="F238" s="94">
        <f t="shared" si="44"/>
        <v>0</v>
      </c>
      <c r="G238" s="94">
        <f t="shared" si="44"/>
        <v>0</v>
      </c>
      <c r="H238" s="94">
        <f t="shared" si="44"/>
        <v>0</v>
      </c>
      <c r="I238" s="94">
        <f t="shared" si="44"/>
        <v>0</v>
      </c>
      <c r="J238" s="94">
        <f t="shared" si="44"/>
        <v>0</v>
      </c>
      <c r="K238" s="92"/>
      <c r="L238" s="92"/>
    </row>
    <row r="239" spans="1:12">
      <c r="A239" s="93" t="str">
        <f t="shared" si="39"/>
        <v>Bajra</v>
      </c>
      <c r="B239" s="93" t="s">
        <v>364</v>
      </c>
      <c r="C239" s="254">
        <v>1700</v>
      </c>
      <c r="D239" s="94">
        <f t="shared" ref="D239:J239" si="45">B74*$C$239*D$172</f>
        <v>0</v>
      </c>
      <c r="E239" s="94">
        <f t="shared" si="45"/>
        <v>0</v>
      </c>
      <c r="F239" s="94">
        <f t="shared" si="45"/>
        <v>0</v>
      </c>
      <c r="G239" s="94">
        <f t="shared" si="45"/>
        <v>0</v>
      </c>
      <c r="H239" s="94">
        <f t="shared" si="45"/>
        <v>0</v>
      </c>
      <c r="I239" s="94">
        <f t="shared" si="45"/>
        <v>0</v>
      </c>
      <c r="J239" s="94">
        <f t="shared" si="45"/>
        <v>0</v>
      </c>
      <c r="K239" s="92"/>
      <c r="L239" s="92"/>
    </row>
    <row r="240" spans="1:12">
      <c r="A240" s="93" t="str">
        <f t="shared" si="39"/>
        <v>Jawar</v>
      </c>
      <c r="B240" s="93" t="s">
        <v>364</v>
      </c>
      <c r="C240" s="254"/>
      <c r="D240" s="94">
        <f t="shared" ref="D240:J240" si="46">B75*$C$240*D$172</f>
        <v>0</v>
      </c>
      <c r="E240" s="94">
        <f t="shared" si="46"/>
        <v>0</v>
      </c>
      <c r="F240" s="94">
        <f t="shared" si="46"/>
        <v>0</v>
      </c>
      <c r="G240" s="94">
        <f t="shared" si="46"/>
        <v>0</v>
      </c>
      <c r="H240" s="94">
        <f t="shared" si="46"/>
        <v>0</v>
      </c>
      <c r="I240" s="94">
        <f t="shared" si="46"/>
        <v>0</v>
      </c>
      <c r="J240" s="94">
        <f t="shared" si="46"/>
        <v>0</v>
      </c>
      <c r="K240" s="92"/>
      <c r="L240" s="92"/>
    </row>
    <row r="241" spans="1:12">
      <c r="A241" s="93" t="str">
        <f t="shared" si="39"/>
        <v>Sunflower</v>
      </c>
      <c r="B241" s="93" t="s">
        <v>364</v>
      </c>
      <c r="C241" s="254"/>
      <c r="D241" s="94">
        <f t="shared" ref="D241:J241" si="47">B76*$C$241*D$172</f>
        <v>0</v>
      </c>
      <c r="E241" s="94">
        <f t="shared" si="47"/>
        <v>0</v>
      </c>
      <c r="F241" s="94">
        <f t="shared" si="47"/>
        <v>0</v>
      </c>
      <c r="G241" s="94">
        <f t="shared" si="47"/>
        <v>0</v>
      </c>
      <c r="H241" s="94">
        <f t="shared" si="47"/>
        <v>0</v>
      </c>
      <c r="I241" s="94">
        <f t="shared" si="47"/>
        <v>0</v>
      </c>
      <c r="J241" s="94">
        <f t="shared" si="47"/>
        <v>0</v>
      </c>
      <c r="K241" s="92"/>
      <c r="L241" s="92"/>
    </row>
    <row r="242" spans="1:12">
      <c r="A242" s="93" t="str">
        <f t="shared" si="39"/>
        <v>Wheat</v>
      </c>
      <c r="B242" s="93" t="s">
        <v>364</v>
      </c>
      <c r="C242" s="254">
        <v>1500</v>
      </c>
      <c r="D242" s="94">
        <f t="shared" ref="D242:J242" si="48">B77*$C$242*D$172</f>
        <v>17107.2</v>
      </c>
      <c r="E242" s="94">
        <f t="shared" si="48"/>
        <v>20207.880000000008</v>
      </c>
      <c r="F242" s="94">
        <f t="shared" si="48"/>
        <v>23575.860000000004</v>
      </c>
      <c r="G242" s="94">
        <f t="shared" si="48"/>
        <v>27230.118300000009</v>
      </c>
      <c r="H242" s="94">
        <f t="shared" si="48"/>
        <v>31190.862780000018</v>
      </c>
      <c r="I242" s="94">
        <f t="shared" si="48"/>
        <v>35479.606412250017</v>
      </c>
      <c r="J242" s="94">
        <f t="shared" si="48"/>
        <v>40119.247250775028</v>
      </c>
      <c r="K242" s="92"/>
      <c r="L242" s="92"/>
    </row>
    <row r="243" spans="1:12">
      <c r="A243" s="93" t="str">
        <f t="shared" si="39"/>
        <v>Bengal Gram/Channa</v>
      </c>
      <c r="B243" s="93" t="s">
        <v>364</v>
      </c>
      <c r="C243" s="254">
        <v>4800</v>
      </c>
      <c r="D243" s="94">
        <f t="shared" ref="D243:J243" si="49">B78*$C$243*D$172</f>
        <v>4379443.2000000002</v>
      </c>
      <c r="E243" s="94">
        <f t="shared" si="49"/>
        <v>5173217.2800000003</v>
      </c>
      <c r="F243" s="94">
        <f t="shared" si="49"/>
        <v>6035420.1600000001</v>
      </c>
      <c r="G243" s="94">
        <f t="shared" si="49"/>
        <v>6970910.2848000014</v>
      </c>
      <c r="H243" s="94">
        <f t="shared" si="49"/>
        <v>7984860.8716800027</v>
      </c>
      <c r="I243" s="94">
        <f t="shared" si="49"/>
        <v>9082779.2415360045</v>
      </c>
      <c r="J243" s="94">
        <f t="shared" si="49"/>
        <v>10270527.296198407</v>
      </c>
      <c r="K243" s="92"/>
      <c r="L243" s="92"/>
    </row>
    <row r="244" spans="1:12">
      <c r="A244" s="93" t="str">
        <f t="shared" si="39"/>
        <v>Jawar</v>
      </c>
      <c r="B244" s="93" t="s">
        <v>364</v>
      </c>
      <c r="C244" s="254"/>
      <c r="D244" s="94">
        <f t="shared" ref="D244:J244" si="50">B79*$C$244*D$172</f>
        <v>0</v>
      </c>
      <c r="E244" s="94">
        <f t="shared" si="50"/>
        <v>0</v>
      </c>
      <c r="F244" s="94">
        <f t="shared" si="50"/>
        <v>0</v>
      </c>
      <c r="G244" s="94">
        <f t="shared" si="50"/>
        <v>0</v>
      </c>
      <c r="H244" s="94">
        <f t="shared" si="50"/>
        <v>0</v>
      </c>
      <c r="I244" s="94">
        <f t="shared" si="50"/>
        <v>0</v>
      </c>
      <c r="J244" s="94">
        <f t="shared" si="50"/>
        <v>0</v>
      </c>
      <c r="K244" s="92"/>
      <c r="L244" s="92"/>
    </row>
    <row r="245" spans="1:12">
      <c r="A245" s="93" t="str">
        <f t="shared" si="39"/>
        <v>Maize</v>
      </c>
      <c r="B245" s="93" t="s">
        <v>364</v>
      </c>
      <c r="C245" s="254"/>
      <c r="D245" s="94">
        <f t="shared" ref="D245:J245" si="51">B80*$C$245*D$172</f>
        <v>0</v>
      </c>
      <c r="E245" s="94">
        <f t="shared" si="51"/>
        <v>0</v>
      </c>
      <c r="F245" s="94">
        <f t="shared" si="51"/>
        <v>0</v>
      </c>
      <c r="G245" s="94">
        <f t="shared" si="51"/>
        <v>0</v>
      </c>
      <c r="H245" s="94">
        <f t="shared" si="51"/>
        <v>0</v>
      </c>
      <c r="I245" s="94">
        <f t="shared" si="51"/>
        <v>0</v>
      </c>
      <c r="J245" s="94">
        <f t="shared" si="51"/>
        <v>0</v>
      </c>
      <c r="K245" s="92"/>
      <c r="L245" s="92"/>
    </row>
    <row r="246" spans="1:12">
      <c r="A246" s="93" t="str">
        <f t="shared" si="39"/>
        <v>Safflower</v>
      </c>
      <c r="B246" s="93" t="s">
        <v>364</v>
      </c>
      <c r="C246" s="254">
        <v>5500</v>
      </c>
      <c r="D246" s="94">
        <f t="shared" ref="D246:J246" si="52">B81*$C$246*D$172</f>
        <v>26136</v>
      </c>
      <c r="E246" s="94">
        <f t="shared" si="52"/>
        <v>30873.15</v>
      </c>
      <c r="F246" s="94">
        <f t="shared" si="52"/>
        <v>36018.675000000003</v>
      </c>
      <c r="G246" s="94">
        <f t="shared" si="52"/>
        <v>41601.569625000011</v>
      </c>
      <c r="H246" s="94">
        <f t="shared" si="52"/>
        <v>47652.707025000018</v>
      </c>
      <c r="I246" s="94">
        <f t="shared" si="52"/>
        <v>54204.954240937535</v>
      </c>
      <c r="J246" s="94">
        <f t="shared" si="52"/>
        <v>61293.294410906288</v>
      </c>
      <c r="K246" s="92"/>
      <c r="L246" s="92"/>
    </row>
    <row r="247" spans="1:12">
      <c r="A247" s="93">
        <f t="shared" si="39"/>
        <v>0</v>
      </c>
      <c r="B247" s="93" t="s">
        <v>364</v>
      </c>
      <c r="C247" s="254"/>
      <c r="D247" s="94">
        <f t="shared" ref="D247:J247" si="53">B82*$C$247*D$172</f>
        <v>0</v>
      </c>
      <c r="E247" s="94">
        <f t="shared" si="53"/>
        <v>0</v>
      </c>
      <c r="F247" s="94">
        <f t="shared" si="53"/>
        <v>0</v>
      </c>
      <c r="G247" s="94">
        <f t="shared" si="53"/>
        <v>0</v>
      </c>
      <c r="H247" s="94">
        <f t="shared" si="53"/>
        <v>0</v>
      </c>
      <c r="I247" s="94">
        <f t="shared" si="53"/>
        <v>0</v>
      </c>
      <c r="J247" s="94">
        <f t="shared" si="53"/>
        <v>0</v>
      </c>
      <c r="K247" s="92"/>
      <c r="L247" s="92"/>
    </row>
    <row r="248" spans="1:12">
      <c r="A248" s="93">
        <f t="shared" si="39"/>
        <v>0</v>
      </c>
      <c r="B248" s="93" t="s">
        <v>364</v>
      </c>
      <c r="C248" s="254"/>
      <c r="D248" s="94">
        <f t="shared" ref="D248:J248" si="54">B83*$C$248*D$172</f>
        <v>0</v>
      </c>
      <c r="E248" s="94">
        <f t="shared" si="54"/>
        <v>0</v>
      </c>
      <c r="F248" s="94">
        <f t="shared" si="54"/>
        <v>0</v>
      </c>
      <c r="G248" s="94">
        <f t="shared" si="54"/>
        <v>0</v>
      </c>
      <c r="H248" s="94">
        <f t="shared" si="54"/>
        <v>0</v>
      </c>
      <c r="I248" s="94">
        <f t="shared" si="54"/>
        <v>0</v>
      </c>
      <c r="J248" s="94">
        <f t="shared" si="54"/>
        <v>0</v>
      </c>
      <c r="K248" s="92"/>
      <c r="L248" s="92"/>
    </row>
    <row r="249" spans="1:12">
      <c r="A249" s="93">
        <f t="shared" si="39"/>
        <v>0</v>
      </c>
      <c r="B249" s="93" t="s">
        <v>364</v>
      </c>
      <c r="C249" s="254"/>
      <c r="D249" s="94">
        <f t="shared" ref="D249:J255" si="55">B84*$C249*D$172</f>
        <v>0</v>
      </c>
      <c r="E249" s="94">
        <f t="shared" si="55"/>
        <v>0</v>
      </c>
      <c r="F249" s="94">
        <f t="shared" si="55"/>
        <v>0</v>
      </c>
      <c r="G249" s="94">
        <f t="shared" si="55"/>
        <v>0</v>
      </c>
      <c r="H249" s="94">
        <f t="shared" si="55"/>
        <v>0</v>
      </c>
      <c r="I249" s="94">
        <f t="shared" si="55"/>
        <v>0</v>
      </c>
      <c r="J249" s="94">
        <f t="shared" si="55"/>
        <v>0</v>
      </c>
      <c r="K249" s="92"/>
      <c r="L249" s="92"/>
    </row>
    <row r="250" spans="1:12">
      <c r="A250" s="93" t="str">
        <f t="shared" si="39"/>
        <v>Groundnut</v>
      </c>
      <c r="B250" s="93" t="s">
        <v>364</v>
      </c>
      <c r="C250" s="254"/>
      <c r="D250" s="94">
        <f t="shared" si="55"/>
        <v>0</v>
      </c>
      <c r="E250" s="94">
        <f t="shared" si="55"/>
        <v>0</v>
      </c>
      <c r="F250" s="94">
        <f t="shared" si="55"/>
        <v>0</v>
      </c>
      <c r="G250" s="94">
        <f t="shared" si="55"/>
        <v>0</v>
      </c>
      <c r="H250" s="94">
        <f t="shared" si="55"/>
        <v>0</v>
      </c>
      <c r="I250" s="94">
        <f t="shared" si="55"/>
        <v>0</v>
      </c>
      <c r="J250" s="94">
        <f t="shared" si="55"/>
        <v>0</v>
      </c>
      <c r="K250" s="92"/>
      <c r="L250" s="92"/>
    </row>
    <row r="251" spans="1:12">
      <c r="A251" s="93">
        <f t="shared" si="39"/>
        <v>0</v>
      </c>
      <c r="B251" s="93" t="s">
        <v>364</v>
      </c>
      <c r="C251" s="254"/>
      <c r="D251" s="94">
        <f t="shared" si="55"/>
        <v>0</v>
      </c>
      <c r="E251" s="94">
        <f t="shared" si="55"/>
        <v>0</v>
      </c>
      <c r="F251" s="94">
        <f t="shared" si="55"/>
        <v>0</v>
      </c>
      <c r="G251" s="94">
        <f t="shared" si="55"/>
        <v>0</v>
      </c>
      <c r="H251" s="94">
        <f t="shared" si="55"/>
        <v>0</v>
      </c>
      <c r="I251" s="94">
        <f t="shared" si="55"/>
        <v>0</v>
      </c>
      <c r="J251" s="94">
        <f t="shared" si="55"/>
        <v>0</v>
      </c>
      <c r="K251" s="92"/>
      <c r="L251" s="92"/>
    </row>
    <row r="252" spans="1:12">
      <c r="A252" s="93">
        <f t="shared" si="39"/>
        <v>0</v>
      </c>
      <c r="B252" s="93" t="s">
        <v>364</v>
      </c>
      <c r="C252" s="254"/>
      <c r="D252" s="94">
        <f t="shared" si="55"/>
        <v>0</v>
      </c>
      <c r="E252" s="94">
        <f t="shared" si="55"/>
        <v>0</v>
      </c>
      <c r="F252" s="94">
        <f t="shared" si="55"/>
        <v>0</v>
      </c>
      <c r="G252" s="94">
        <f t="shared" si="55"/>
        <v>0</v>
      </c>
      <c r="H252" s="94">
        <f t="shared" si="55"/>
        <v>0</v>
      </c>
      <c r="I252" s="94">
        <f t="shared" si="55"/>
        <v>0</v>
      </c>
      <c r="J252" s="94">
        <f t="shared" si="55"/>
        <v>0</v>
      </c>
      <c r="K252" s="92"/>
      <c r="L252" s="92"/>
    </row>
    <row r="253" spans="1:12">
      <c r="A253" s="93">
        <f t="shared" si="39"/>
        <v>0</v>
      </c>
      <c r="B253" s="93" t="s">
        <v>364</v>
      </c>
      <c r="C253" s="254"/>
      <c r="D253" s="94">
        <f t="shared" si="55"/>
        <v>0</v>
      </c>
      <c r="E253" s="94">
        <f t="shared" si="55"/>
        <v>0</v>
      </c>
      <c r="F253" s="94">
        <f t="shared" si="55"/>
        <v>0</v>
      </c>
      <c r="G253" s="94">
        <f t="shared" si="55"/>
        <v>0</v>
      </c>
      <c r="H253" s="94">
        <f t="shared" si="55"/>
        <v>0</v>
      </c>
      <c r="I253" s="94">
        <f t="shared" si="55"/>
        <v>0</v>
      </c>
      <c r="J253" s="94">
        <f t="shared" si="55"/>
        <v>0</v>
      </c>
      <c r="K253" s="92"/>
      <c r="L253" s="92"/>
    </row>
    <row r="254" spans="1:12">
      <c r="A254" s="93">
        <f t="shared" si="39"/>
        <v>0</v>
      </c>
      <c r="B254" s="93" t="s">
        <v>364</v>
      </c>
      <c r="C254" s="254"/>
      <c r="D254" s="94">
        <f t="shared" si="55"/>
        <v>0</v>
      </c>
      <c r="E254" s="94">
        <f t="shared" si="55"/>
        <v>0</v>
      </c>
      <c r="F254" s="94">
        <f t="shared" si="55"/>
        <v>0</v>
      </c>
      <c r="G254" s="94">
        <f t="shared" si="55"/>
        <v>0</v>
      </c>
      <c r="H254" s="94">
        <f t="shared" si="55"/>
        <v>0</v>
      </c>
      <c r="I254" s="94">
        <f t="shared" si="55"/>
        <v>0</v>
      </c>
      <c r="J254" s="94">
        <f t="shared" si="55"/>
        <v>0</v>
      </c>
      <c r="K254" s="92"/>
      <c r="L254" s="92"/>
    </row>
    <row r="255" spans="1:12">
      <c r="A255" s="93">
        <f t="shared" ref="A255:A274" si="56">A201</f>
        <v>0</v>
      </c>
      <c r="B255" s="93"/>
      <c r="C255" s="254"/>
      <c r="D255" s="94">
        <f t="shared" si="55"/>
        <v>0</v>
      </c>
      <c r="E255" s="94">
        <f t="shared" si="55"/>
        <v>0</v>
      </c>
      <c r="F255" s="94">
        <f t="shared" si="55"/>
        <v>0</v>
      </c>
      <c r="G255" s="94">
        <f t="shared" si="55"/>
        <v>0</v>
      </c>
      <c r="H255" s="94">
        <f t="shared" si="55"/>
        <v>0</v>
      </c>
      <c r="I255" s="94">
        <f t="shared" si="55"/>
        <v>0</v>
      </c>
      <c r="J255" s="94">
        <f t="shared" si="55"/>
        <v>0</v>
      </c>
      <c r="K255" s="92"/>
      <c r="L255" s="92"/>
    </row>
    <row r="256" spans="1:12">
      <c r="A256" s="95" t="str">
        <f t="shared" si="56"/>
        <v>Fruit  &amp; Vegetables Crop Production Details</v>
      </c>
      <c r="B256" s="93"/>
      <c r="C256" s="254"/>
      <c r="D256" s="94"/>
      <c r="E256" s="94"/>
      <c r="F256" s="94"/>
      <c r="G256" s="94"/>
      <c r="H256" s="94"/>
      <c r="I256" s="94"/>
      <c r="J256" s="94"/>
      <c r="K256" s="92"/>
      <c r="L256" s="92"/>
    </row>
    <row r="257" spans="1:12">
      <c r="A257" s="93" t="str">
        <f t="shared" si="56"/>
        <v>Onion</v>
      </c>
      <c r="B257" s="93" t="s">
        <v>364</v>
      </c>
      <c r="C257" s="254">
        <v>1800</v>
      </c>
      <c r="D257" s="94">
        <f t="shared" ref="D257:D274" si="57">B92*$C257*D$172</f>
        <v>0</v>
      </c>
      <c r="E257" s="94">
        <f t="shared" ref="E257:E274" si="58">C92*$C257*E$172</f>
        <v>0</v>
      </c>
      <c r="F257" s="94">
        <f t="shared" ref="F257:F274" si="59">D92*$C257*F$172</f>
        <v>0</v>
      </c>
      <c r="G257" s="94">
        <f t="shared" ref="G257:G274" si="60">E92*$C257*G$172</f>
        <v>0</v>
      </c>
      <c r="H257" s="94">
        <f t="shared" ref="H257:H274" si="61">F92*$C257*H$172</f>
        <v>0</v>
      </c>
      <c r="I257" s="94">
        <f t="shared" ref="I257:I274" si="62">G92*$C257*I$172</f>
        <v>0</v>
      </c>
      <c r="J257" s="94">
        <f t="shared" ref="J257:J274" si="63">H92*$C257*J$172</f>
        <v>0</v>
      </c>
      <c r="K257" s="92"/>
      <c r="L257" s="92"/>
    </row>
    <row r="258" spans="1:12">
      <c r="A258" s="93" t="str">
        <f t="shared" si="56"/>
        <v>Tomato</v>
      </c>
      <c r="B258" s="93" t="s">
        <v>364</v>
      </c>
      <c r="C258" s="254">
        <v>800</v>
      </c>
      <c r="D258" s="94">
        <f t="shared" si="57"/>
        <v>0</v>
      </c>
      <c r="E258" s="94">
        <f t="shared" si="58"/>
        <v>0</v>
      </c>
      <c r="F258" s="94">
        <f t="shared" si="59"/>
        <v>0</v>
      </c>
      <c r="G258" s="94">
        <f t="shared" si="60"/>
        <v>0</v>
      </c>
      <c r="H258" s="94">
        <f t="shared" si="61"/>
        <v>0</v>
      </c>
      <c r="I258" s="94">
        <f t="shared" si="62"/>
        <v>0</v>
      </c>
      <c r="J258" s="94">
        <f t="shared" si="63"/>
        <v>0</v>
      </c>
      <c r="K258" s="92"/>
      <c r="L258" s="92"/>
    </row>
    <row r="259" spans="1:12">
      <c r="A259" s="93" t="str">
        <f t="shared" si="56"/>
        <v>Okra</v>
      </c>
      <c r="B259" s="93" t="s">
        <v>364</v>
      </c>
      <c r="C259" s="254">
        <v>1300</v>
      </c>
      <c r="D259" s="94">
        <f t="shared" si="57"/>
        <v>0</v>
      </c>
      <c r="E259" s="94">
        <f t="shared" si="58"/>
        <v>0</v>
      </c>
      <c r="F259" s="94">
        <f t="shared" si="59"/>
        <v>0</v>
      </c>
      <c r="G259" s="94">
        <f t="shared" si="60"/>
        <v>0</v>
      </c>
      <c r="H259" s="94">
        <f t="shared" si="61"/>
        <v>0</v>
      </c>
      <c r="I259" s="94">
        <f t="shared" si="62"/>
        <v>0</v>
      </c>
      <c r="J259" s="94">
        <f t="shared" si="63"/>
        <v>0</v>
      </c>
      <c r="K259" s="92"/>
      <c r="L259" s="92"/>
    </row>
    <row r="260" spans="1:12">
      <c r="A260" s="93" t="str">
        <f t="shared" si="56"/>
        <v>Chilli</v>
      </c>
      <c r="B260" s="93" t="s">
        <v>364</v>
      </c>
      <c r="C260" s="254">
        <v>2800</v>
      </c>
      <c r="D260" s="94">
        <f t="shared" si="57"/>
        <v>0</v>
      </c>
      <c r="E260" s="94">
        <f t="shared" si="58"/>
        <v>0</v>
      </c>
      <c r="F260" s="94">
        <f t="shared" si="59"/>
        <v>0</v>
      </c>
      <c r="G260" s="94">
        <f t="shared" si="60"/>
        <v>0</v>
      </c>
      <c r="H260" s="94">
        <f t="shared" si="61"/>
        <v>0</v>
      </c>
      <c r="I260" s="94">
        <f t="shared" si="62"/>
        <v>0</v>
      </c>
      <c r="J260" s="94">
        <f t="shared" si="63"/>
        <v>0</v>
      </c>
      <c r="K260" s="92"/>
      <c r="L260" s="92"/>
    </row>
    <row r="261" spans="1:12">
      <c r="A261" s="93" t="str">
        <f t="shared" si="56"/>
        <v>Potato</v>
      </c>
      <c r="B261" s="93" t="s">
        <v>364</v>
      </c>
      <c r="C261" s="254">
        <v>1300</v>
      </c>
      <c r="D261" s="94">
        <f t="shared" si="57"/>
        <v>0</v>
      </c>
      <c r="E261" s="94">
        <f t="shared" si="58"/>
        <v>0</v>
      </c>
      <c r="F261" s="94">
        <f t="shared" si="59"/>
        <v>0</v>
      </c>
      <c r="G261" s="94">
        <f t="shared" si="60"/>
        <v>0</v>
      </c>
      <c r="H261" s="94">
        <f t="shared" si="61"/>
        <v>0</v>
      </c>
      <c r="I261" s="94">
        <f t="shared" si="62"/>
        <v>0</v>
      </c>
      <c r="J261" s="94">
        <f t="shared" si="63"/>
        <v>0</v>
      </c>
      <c r="K261" s="92"/>
      <c r="L261" s="92"/>
    </row>
    <row r="262" spans="1:12">
      <c r="A262" s="93">
        <f t="shared" si="56"/>
        <v>0</v>
      </c>
      <c r="B262" s="93" t="s">
        <v>364</v>
      </c>
      <c r="C262" s="254"/>
      <c r="D262" s="94">
        <f t="shared" si="57"/>
        <v>0</v>
      </c>
      <c r="E262" s="94">
        <f t="shared" si="58"/>
        <v>0</v>
      </c>
      <c r="F262" s="94">
        <f t="shared" si="59"/>
        <v>0</v>
      </c>
      <c r="G262" s="94">
        <f t="shared" si="60"/>
        <v>0</v>
      </c>
      <c r="H262" s="94">
        <f t="shared" si="61"/>
        <v>0</v>
      </c>
      <c r="I262" s="94">
        <f t="shared" si="62"/>
        <v>0</v>
      </c>
      <c r="J262" s="94">
        <f t="shared" si="63"/>
        <v>0</v>
      </c>
      <c r="K262" s="92"/>
      <c r="L262" s="92"/>
    </row>
    <row r="263" spans="1:12">
      <c r="A263" s="93">
        <f t="shared" si="56"/>
        <v>0</v>
      </c>
      <c r="B263" s="93" t="s">
        <v>364</v>
      </c>
      <c r="C263" s="254"/>
      <c r="D263" s="94">
        <f t="shared" si="57"/>
        <v>0</v>
      </c>
      <c r="E263" s="94">
        <f t="shared" si="58"/>
        <v>0</v>
      </c>
      <c r="F263" s="94">
        <f t="shared" si="59"/>
        <v>0</v>
      </c>
      <c r="G263" s="94">
        <f t="shared" si="60"/>
        <v>0</v>
      </c>
      <c r="H263" s="94">
        <f t="shared" si="61"/>
        <v>0</v>
      </c>
      <c r="I263" s="94">
        <f t="shared" si="62"/>
        <v>0</v>
      </c>
      <c r="J263" s="94">
        <f t="shared" si="63"/>
        <v>0</v>
      </c>
      <c r="K263" s="92"/>
      <c r="L263" s="92"/>
    </row>
    <row r="264" spans="1:12">
      <c r="A264" s="93">
        <f t="shared" si="56"/>
        <v>0</v>
      </c>
      <c r="B264" s="93" t="s">
        <v>364</v>
      </c>
      <c r="C264" s="254"/>
      <c r="D264" s="94">
        <f t="shared" si="57"/>
        <v>0</v>
      </c>
      <c r="E264" s="94">
        <f t="shared" si="58"/>
        <v>0</v>
      </c>
      <c r="F264" s="94">
        <f t="shared" si="59"/>
        <v>0</v>
      </c>
      <c r="G264" s="94">
        <f t="shared" si="60"/>
        <v>0</v>
      </c>
      <c r="H264" s="94">
        <f t="shared" si="61"/>
        <v>0</v>
      </c>
      <c r="I264" s="94">
        <f t="shared" si="62"/>
        <v>0</v>
      </c>
      <c r="J264" s="94">
        <f t="shared" si="63"/>
        <v>0</v>
      </c>
      <c r="K264" s="92"/>
      <c r="L264" s="92"/>
    </row>
    <row r="265" spans="1:12">
      <c r="A265" s="93">
        <f t="shared" si="56"/>
        <v>0</v>
      </c>
      <c r="B265" s="93" t="s">
        <v>364</v>
      </c>
      <c r="C265" s="254"/>
      <c r="D265" s="94">
        <f t="shared" si="57"/>
        <v>0</v>
      </c>
      <c r="E265" s="94">
        <f t="shared" si="58"/>
        <v>0</v>
      </c>
      <c r="F265" s="94">
        <f t="shared" si="59"/>
        <v>0</v>
      </c>
      <c r="G265" s="94">
        <f t="shared" si="60"/>
        <v>0</v>
      </c>
      <c r="H265" s="94">
        <f t="shared" si="61"/>
        <v>0</v>
      </c>
      <c r="I265" s="94">
        <f t="shared" si="62"/>
        <v>0</v>
      </c>
      <c r="J265" s="94">
        <f t="shared" si="63"/>
        <v>0</v>
      </c>
      <c r="K265" s="92"/>
      <c r="L265" s="92"/>
    </row>
    <row r="266" spans="1:12">
      <c r="A266" s="93" t="str">
        <f t="shared" si="56"/>
        <v>Onion</v>
      </c>
      <c r="B266" s="93" t="s">
        <v>364</v>
      </c>
      <c r="C266" s="254">
        <v>1800</v>
      </c>
      <c r="D266" s="94">
        <f t="shared" si="57"/>
        <v>0</v>
      </c>
      <c r="E266" s="94">
        <f t="shared" si="58"/>
        <v>0</v>
      </c>
      <c r="F266" s="94">
        <f t="shared" si="59"/>
        <v>0</v>
      </c>
      <c r="G266" s="94">
        <f t="shared" si="60"/>
        <v>0</v>
      </c>
      <c r="H266" s="94">
        <f t="shared" si="61"/>
        <v>0</v>
      </c>
      <c r="I266" s="94">
        <f t="shared" si="62"/>
        <v>0</v>
      </c>
      <c r="J266" s="94">
        <f t="shared" si="63"/>
        <v>0</v>
      </c>
      <c r="K266" s="92"/>
      <c r="L266" s="92"/>
    </row>
    <row r="267" spans="1:12">
      <c r="A267" s="93" t="str">
        <f t="shared" si="56"/>
        <v>Tomato</v>
      </c>
      <c r="B267" s="93" t="s">
        <v>364</v>
      </c>
      <c r="C267" s="254">
        <v>800</v>
      </c>
      <c r="D267" s="94">
        <f t="shared" si="57"/>
        <v>0</v>
      </c>
      <c r="E267" s="94">
        <f t="shared" si="58"/>
        <v>0</v>
      </c>
      <c r="F267" s="94">
        <f t="shared" si="59"/>
        <v>0</v>
      </c>
      <c r="G267" s="94">
        <f t="shared" si="60"/>
        <v>0</v>
      </c>
      <c r="H267" s="94">
        <f t="shared" si="61"/>
        <v>0</v>
      </c>
      <c r="I267" s="94">
        <f t="shared" si="62"/>
        <v>0</v>
      </c>
      <c r="J267" s="94">
        <f t="shared" si="63"/>
        <v>0</v>
      </c>
      <c r="K267" s="92"/>
      <c r="L267" s="92"/>
    </row>
    <row r="268" spans="1:12">
      <c r="A268" s="93" t="str">
        <f t="shared" si="56"/>
        <v>Okra</v>
      </c>
      <c r="B268" s="93" t="s">
        <v>364</v>
      </c>
      <c r="C268" s="254">
        <v>1300</v>
      </c>
      <c r="D268" s="94">
        <f t="shared" si="57"/>
        <v>0</v>
      </c>
      <c r="E268" s="94">
        <f t="shared" si="58"/>
        <v>0</v>
      </c>
      <c r="F268" s="94">
        <f t="shared" si="59"/>
        <v>0</v>
      </c>
      <c r="G268" s="94">
        <f t="shared" si="60"/>
        <v>0</v>
      </c>
      <c r="H268" s="94">
        <f t="shared" si="61"/>
        <v>0</v>
      </c>
      <c r="I268" s="94">
        <f t="shared" si="62"/>
        <v>0</v>
      </c>
      <c r="J268" s="94">
        <f t="shared" si="63"/>
        <v>0</v>
      </c>
      <c r="K268" s="92"/>
      <c r="L268" s="92"/>
    </row>
    <row r="269" spans="1:12">
      <c r="A269" s="93" t="str">
        <f t="shared" si="56"/>
        <v>Chilli</v>
      </c>
      <c r="B269" s="93" t="s">
        <v>364</v>
      </c>
      <c r="C269" s="254">
        <v>2800</v>
      </c>
      <c r="D269" s="94">
        <f t="shared" si="57"/>
        <v>0</v>
      </c>
      <c r="E269" s="94">
        <f t="shared" si="58"/>
        <v>0</v>
      </c>
      <c r="F269" s="94">
        <f t="shared" si="59"/>
        <v>0</v>
      </c>
      <c r="G269" s="94">
        <f t="shared" si="60"/>
        <v>0</v>
      </c>
      <c r="H269" s="94">
        <f t="shared" si="61"/>
        <v>0</v>
      </c>
      <c r="I269" s="94">
        <f t="shared" si="62"/>
        <v>0</v>
      </c>
      <c r="J269" s="94">
        <f t="shared" si="63"/>
        <v>0</v>
      </c>
      <c r="K269" s="92"/>
      <c r="L269" s="92"/>
    </row>
    <row r="270" spans="1:12">
      <c r="A270" s="93" t="str">
        <f t="shared" si="56"/>
        <v>Brinjal</v>
      </c>
      <c r="B270" s="93" t="s">
        <v>364</v>
      </c>
      <c r="C270" s="254">
        <v>1800</v>
      </c>
      <c r="D270" s="94">
        <f t="shared" si="57"/>
        <v>0</v>
      </c>
      <c r="E270" s="94">
        <f t="shared" si="58"/>
        <v>0</v>
      </c>
      <c r="F270" s="94">
        <f t="shared" si="59"/>
        <v>0</v>
      </c>
      <c r="G270" s="94">
        <f t="shared" si="60"/>
        <v>0</v>
      </c>
      <c r="H270" s="94">
        <f t="shared" si="61"/>
        <v>0</v>
      </c>
      <c r="I270" s="94">
        <f t="shared" si="62"/>
        <v>0</v>
      </c>
      <c r="J270" s="94">
        <f t="shared" si="63"/>
        <v>0</v>
      </c>
      <c r="K270" s="92"/>
      <c r="L270" s="92"/>
    </row>
    <row r="271" spans="1:12">
      <c r="A271" s="93">
        <f t="shared" si="56"/>
        <v>0</v>
      </c>
      <c r="B271" s="93" t="s">
        <v>364</v>
      </c>
      <c r="C271" s="254"/>
      <c r="D271" s="94">
        <f t="shared" si="57"/>
        <v>0</v>
      </c>
      <c r="E271" s="94">
        <f t="shared" si="58"/>
        <v>0</v>
      </c>
      <c r="F271" s="94">
        <f t="shared" si="59"/>
        <v>0</v>
      </c>
      <c r="G271" s="94">
        <f t="shared" si="60"/>
        <v>0</v>
      </c>
      <c r="H271" s="94">
        <f t="shared" si="61"/>
        <v>0</v>
      </c>
      <c r="I271" s="94">
        <f t="shared" si="62"/>
        <v>0</v>
      </c>
      <c r="J271" s="94">
        <f t="shared" si="63"/>
        <v>0</v>
      </c>
      <c r="K271" s="92"/>
      <c r="L271" s="92"/>
    </row>
    <row r="272" spans="1:12">
      <c r="A272" s="93">
        <f t="shared" si="56"/>
        <v>0</v>
      </c>
      <c r="B272" s="93" t="s">
        <v>364</v>
      </c>
      <c r="C272" s="254"/>
      <c r="D272" s="94">
        <f t="shared" si="57"/>
        <v>0</v>
      </c>
      <c r="E272" s="94">
        <f t="shared" si="58"/>
        <v>0</v>
      </c>
      <c r="F272" s="94">
        <f t="shared" si="59"/>
        <v>0</v>
      </c>
      <c r="G272" s="94">
        <f t="shared" si="60"/>
        <v>0</v>
      </c>
      <c r="H272" s="94">
        <f t="shared" si="61"/>
        <v>0</v>
      </c>
      <c r="I272" s="94">
        <f t="shared" si="62"/>
        <v>0</v>
      </c>
      <c r="J272" s="94">
        <f t="shared" si="63"/>
        <v>0</v>
      </c>
      <c r="K272" s="92"/>
      <c r="L272" s="92"/>
    </row>
    <row r="273" spans="1:12">
      <c r="A273" s="93">
        <f t="shared" si="56"/>
        <v>0</v>
      </c>
      <c r="B273" s="93" t="s">
        <v>364</v>
      </c>
      <c r="C273" s="254"/>
      <c r="D273" s="94">
        <f t="shared" si="57"/>
        <v>0</v>
      </c>
      <c r="E273" s="94">
        <f t="shared" si="58"/>
        <v>0</v>
      </c>
      <c r="F273" s="94">
        <f t="shared" si="59"/>
        <v>0</v>
      </c>
      <c r="G273" s="94">
        <f t="shared" si="60"/>
        <v>0</v>
      </c>
      <c r="H273" s="94">
        <f t="shared" si="61"/>
        <v>0</v>
      </c>
      <c r="I273" s="94">
        <f t="shared" si="62"/>
        <v>0</v>
      </c>
      <c r="J273" s="94">
        <f t="shared" si="63"/>
        <v>0</v>
      </c>
      <c r="K273" s="92"/>
      <c r="L273" s="92"/>
    </row>
    <row r="274" spans="1:12">
      <c r="A274" s="93">
        <f t="shared" si="56"/>
        <v>0</v>
      </c>
      <c r="B274" s="93" t="s">
        <v>364</v>
      </c>
      <c r="C274" s="254"/>
      <c r="D274" s="94">
        <f t="shared" si="57"/>
        <v>0</v>
      </c>
      <c r="E274" s="94">
        <f t="shared" si="58"/>
        <v>0</v>
      </c>
      <c r="F274" s="94">
        <f t="shared" si="59"/>
        <v>0</v>
      </c>
      <c r="G274" s="94">
        <f t="shared" si="60"/>
        <v>0</v>
      </c>
      <c r="H274" s="94">
        <f t="shared" si="61"/>
        <v>0</v>
      </c>
      <c r="I274" s="94">
        <f t="shared" si="62"/>
        <v>0</v>
      </c>
      <c r="J274" s="94">
        <f t="shared" si="63"/>
        <v>0</v>
      </c>
      <c r="K274" s="92"/>
      <c r="L274" s="92"/>
    </row>
    <row r="275" spans="1:12">
      <c r="A275" s="93" t="str">
        <f>A224</f>
        <v>Pomegranate</v>
      </c>
      <c r="B275" s="93" t="s">
        <v>364</v>
      </c>
      <c r="C275" s="254">
        <v>4700</v>
      </c>
      <c r="D275" s="94">
        <f t="shared" ref="D275:J280" si="64">B113*$C275*D$172</f>
        <v>0</v>
      </c>
      <c r="E275" s="94">
        <f t="shared" si="64"/>
        <v>0</v>
      </c>
      <c r="F275" s="94">
        <f t="shared" si="64"/>
        <v>0</v>
      </c>
      <c r="G275" s="94">
        <f t="shared" si="64"/>
        <v>0</v>
      </c>
      <c r="H275" s="94">
        <f t="shared" si="64"/>
        <v>0</v>
      </c>
      <c r="I275" s="94">
        <f t="shared" si="64"/>
        <v>0</v>
      </c>
      <c r="J275" s="94">
        <f t="shared" si="64"/>
        <v>0</v>
      </c>
      <c r="K275" s="92"/>
      <c r="L275" s="92"/>
    </row>
    <row r="276" spans="1:12">
      <c r="A276" s="93" t="str">
        <f>A225</f>
        <v>Custard Apple</v>
      </c>
      <c r="B276" s="93" t="s">
        <v>364</v>
      </c>
      <c r="C276" s="254"/>
      <c r="D276" s="94">
        <f t="shared" si="64"/>
        <v>0</v>
      </c>
      <c r="E276" s="94">
        <f t="shared" si="64"/>
        <v>0</v>
      </c>
      <c r="F276" s="94">
        <f t="shared" si="64"/>
        <v>0</v>
      </c>
      <c r="G276" s="94">
        <f t="shared" si="64"/>
        <v>0</v>
      </c>
      <c r="H276" s="94">
        <f t="shared" si="64"/>
        <v>0</v>
      </c>
      <c r="I276" s="94">
        <f t="shared" si="64"/>
        <v>0</v>
      </c>
      <c r="J276" s="94">
        <f t="shared" si="64"/>
        <v>0</v>
      </c>
      <c r="K276" s="92"/>
      <c r="L276" s="92"/>
    </row>
    <row r="277" spans="1:12">
      <c r="A277" s="93" t="str">
        <f>A226</f>
        <v>Guava</v>
      </c>
      <c r="B277" s="93" t="s">
        <v>364</v>
      </c>
      <c r="C277" s="254"/>
      <c r="D277" s="94">
        <f t="shared" si="64"/>
        <v>0</v>
      </c>
      <c r="E277" s="94">
        <f t="shared" si="64"/>
        <v>0</v>
      </c>
      <c r="F277" s="94">
        <f t="shared" si="64"/>
        <v>0</v>
      </c>
      <c r="G277" s="94">
        <f t="shared" si="64"/>
        <v>0</v>
      </c>
      <c r="H277" s="94">
        <f t="shared" si="64"/>
        <v>0</v>
      </c>
      <c r="I277" s="94">
        <f t="shared" si="64"/>
        <v>0</v>
      </c>
      <c r="J277" s="94">
        <f t="shared" si="64"/>
        <v>0</v>
      </c>
      <c r="K277" s="92"/>
      <c r="L277" s="92"/>
    </row>
    <row r="278" spans="1:12">
      <c r="A278" s="93" t="str">
        <f>A227</f>
        <v>Citrus</v>
      </c>
      <c r="B278" s="93" t="s">
        <v>364</v>
      </c>
      <c r="C278" s="254"/>
      <c r="D278" s="94">
        <f t="shared" si="64"/>
        <v>0</v>
      </c>
      <c r="E278" s="94">
        <f t="shared" si="64"/>
        <v>0</v>
      </c>
      <c r="F278" s="94">
        <f t="shared" si="64"/>
        <v>0</v>
      </c>
      <c r="G278" s="94">
        <f t="shared" si="64"/>
        <v>0</v>
      </c>
      <c r="H278" s="94">
        <f t="shared" si="64"/>
        <v>0</v>
      </c>
      <c r="I278" s="94">
        <f t="shared" si="64"/>
        <v>0</v>
      </c>
      <c r="J278" s="94">
        <f t="shared" si="64"/>
        <v>0</v>
      </c>
      <c r="K278" s="92"/>
      <c r="L278" s="92"/>
    </row>
    <row r="279" spans="1:12">
      <c r="A279" s="93">
        <f>A228</f>
        <v>0</v>
      </c>
      <c r="B279" s="93" t="s">
        <v>364</v>
      </c>
      <c r="C279" s="254"/>
      <c r="D279" s="94">
        <f t="shared" si="64"/>
        <v>0</v>
      </c>
      <c r="E279" s="94">
        <f t="shared" si="64"/>
        <v>0</v>
      </c>
      <c r="F279" s="94">
        <f t="shared" si="64"/>
        <v>0</v>
      </c>
      <c r="G279" s="94">
        <f t="shared" si="64"/>
        <v>0</v>
      </c>
      <c r="H279" s="94">
        <f t="shared" si="64"/>
        <v>0</v>
      </c>
      <c r="I279" s="94">
        <f t="shared" si="64"/>
        <v>0</v>
      </c>
      <c r="J279" s="94">
        <f t="shared" si="64"/>
        <v>0</v>
      </c>
      <c r="K279" s="92"/>
      <c r="L279" s="92"/>
    </row>
    <row r="280" spans="1:12">
      <c r="A280" s="93">
        <f>A230</f>
        <v>0</v>
      </c>
      <c r="B280" s="93"/>
      <c r="C280" s="254"/>
      <c r="D280" s="94">
        <f t="shared" si="64"/>
        <v>0</v>
      </c>
      <c r="E280" s="94">
        <f t="shared" si="64"/>
        <v>0</v>
      </c>
      <c r="F280" s="94">
        <f t="shared" si="64"/>
        <v>0</v>
      </c>
      <c r="G280" s="94">
        <f t="shared" si="64"/>
        <v>0</v>
      </c>
      <c r="H280" s="94">
        <f t="shared" si="64"/>
        <v>0</v>
      </c>
      <c r="I280" s="94">
        <f t="shared" si="64"/>
        <v>0</v>
      </c>
      <c r="J280" s="94">
        <f t="shared" si="64"/>
        <v>0</v>
      </c>
      <c r="K280" s="92"/>
      <c r="L280" s="92"/>
    </row>
    <row r="281" spans="1:12">
      <c r="A281" s="93"/>
      <c r="B281" s="93"/>
      <c r="C281" s="254"/>
      <c r="D281" s="94"/>
      <c r="E281" s="94"/>
      <c r="F281" s="94"/>
      <c r="G281" s="94"/>
      <c r="H281" s="94"/>
      <c r="I281" s="94"/>
      <c r="J281" s="94"/>
      <c r="K281" s="92"/>
      <c r="L281" s="92"/>
    </row>
    <row r="282" spans="1:12">
      <c r="A282" s="93" t="s">
        <v>314</v>
      </c>
      <c r="B282" s="230">
        <v>6</v>
      </c>
      <c r="C282" s="230">
        <v>300</v>
      </c>
      <c r="D282" s="94">
        <f t="shared" ref="D282:J282" si="65">B10*$B$282*$C$282*D172</f>
        <v>394200</v>
      </c>
      <c r="E282" s="94">
        <f t="shared" si="65"/>
        <v>466830</v>
      </c>
      <c r="F282" s="94">
        <f t="shared" si="65"/>
        <v>543753</v>
      </c>
      <c r="G282" s="94">
        <f t="shared" si="65"/>
        <v>629284.95000000007</v>
      </c>
      <c r="H282" s="94">
        <f t="shared" si="65"/>
        <v>719822.80125000014</v>
      </c>
      <c r="I282" s="94">
        <f t="shared" si="65"/>
        <v>817841.22525000025</v>
      </c>
      <c r="J282" s="94">
        <f t="shared" si="65"/>
        <v>926274.1068000003</v>
      </c>
      <c r="K282" s="92"/>
      <c r="L282" s="92"/>
    </row>
    <row r="283" spans="1:12">
      <c r="A283" s="93" t="s">
        <v>144</v>
      </c>
      <c r="B283" s="93">
        <f>'2.Capex Details'!H69*0.746*5</f>
        <v>223.79999999999998</v>
      </c>
      <c r="C283" s="230">
        <v>15</v>
      </c>
      <c r="D283" s="94">
        <f t="shared" ref="D283:J283" si="66">$B$283*$C$283*D172*B10</f>
        <v>735182.99999999988</v>
      </c>
      <c r="E283" s="94">
        <f t="shared" si="66"/>
        <v>870637.94999999984</v>
      </c>
      <c r="F283" s="94">
        <f t="shared" si="66"/>
        <v>1014099.345</v>
      </c>
      <c r="G283" s="94">
        <f t="shared" si="66"/>
        <v>1173616.43175</v>
      </c>
      <c r="H283" s="94">
        <f t="shared" si="66"/>
        <v>1342469.52433125</v>
      </c>
      <c r="I283" s="94">
        <f t="shared" si="66"/>
        <v>1525273.8850912503</v>
      </c>
      <c r="J283" s="94">
        <f t="shared" si="66"/>
        <v>1727501.2091820003</v>
      </c>
      <c r="K283" s="92"/>
      <c r="L283" s="92"/>
    </row>
    <row r="284" spans="1:12">
      <c r="A284" s="93" t="s">
        <v>462</v>
      </c>
      <c r="B284" s="93"/>
      <c r="C284" s="230">
        <v>85</v>
      </c>
      <c r="D284" s="94">
        <f t="shared" ref="D284:J284" si="67">SUM(B120:B141)*$C$284*D172</f>
        <v>456027.11616000009</v>
      </c>
      <c r="E284" s="94">
        <f t="shared" si="67"/>
        <v>538682.03096399992</v>
      </c>
      <c r="F284" s="94">
        <f t="shared" si="67"/>
        <v>628462.36945800006</v>
      </c>
      <c r="G284" s="94">
        <f t="shared" si="67"/>
        <v>725874.03672398999</v>
      </c>
      <c r="H284" s="94">
        <f t="shared" si="67"/>
        <v>831455.71479293436</v>
      </c>
      <c r="I284" s="94">
        <f t="shared" si="67"/>
        <v>945780.87557696295</v>
      </c>
      <c r="J284" s="94">
        <f t="shared" si="67"/>
        <v>1069459.913152412</v>
      </c>
      <c r="K284" s="92"/>
      <c r="L284" s="92"/>
    </row>
    <row r="285" spans="1:12">
      <c r="A285" s="93" t="s">
        <v>461</v>
      </c>
      <c r="B285" s="93"/>
      <c r="C285" s="230">
        <v>50</v>
      </c>
      <c r="D285" s="94">
        <f t="shared" ref="D285:J285" si="68">SUM(B120:B141)*$C$285*D172</f>
        <v>268251.24480000004</v>
      </c>
      <c r="E285" s="94">
        <f t="shared" si="68"/>
        <v>316871.78291999997</v>
      </c>
      <c r="F285" s="94">
        <f t="shared" si="68"/>
        <v>369683.74674000003</v>
      </c>
      <c r="G285" s="94">
        <f t="shared" si="68"/>
        <v>426984.72748470004</v>
      </c>
      <c r="H285" s="94">
        <f t="shared" si="68"/>
        <v>489091.59693702019</v>
      </c>
      <c r="I285" s="94">
        <f t="shared" si="68"/>
        <v>556341.69151586061</v>
      </c>
      <c r="J285" s="94">
        <f t="shared" si="68"/>
        <v>629094.06656024233</v>
      </c>
      <c r="K285" s="92"/>
      <c r="L285" s="92"/>
    </row>
    <row r="286" spans="1:12">
      <c r="A286" s="9"/>
      <c r="B286" s="9"/>
      <c r="C286" s="9" t="s">
        <v>770</v>
      </c>
      <c r="D286" s="9"/>
      <c r="E286" s="9"/>
      <c r="F286" s="9"/>
      <c r="G286" s="9"/>
      <c r="H286" s="9"/>
      <c r="I286" s="9"/>
      <c r="J286" s="9"/>
      <c r="K286" s="92"/>
      <c r="L286" s="92"/>
    </row>
    <row r="287" spans="1:12">
      <c r="A287" s="9"/>
      <c r="B287" s="9"/>
      <c r="C287" s="9"/>
      <c r="D287" s="9"/>
      <c r="E287" s="9"/>
      <c r="F287" s="9"/>
      <c r="G287" s="9"/>
      <c r="H287" s="9"/>
      <c r="I287" s="9"/>
      <c r="J287" s="9"/>
      <c r="K287" s="92"/>
      <c r="L287" s="92"/>
    </row>
    <row r="288" spans="1:12">
      <c r="A288" s="9"/>
      <c r="B288" s="9"/>
      <c r="C288" s="9"/>
      <c r="D288" s="9"/>
      <c r="E288" s="9"/>
      <c r="F288" s="9"/>
      <c r="G288" s="9"/>
      <c r="H288" s="9"/>
      <c r="I288" s="9"/>
      <c r="J288" s="9"/>
      <c r="K288" s="92"/>
      <c r="L288" s="92"/>
    </row>
    <row r="289" spans="1:20">
      <c r="A289" s="97" t="s">
        <v>345</v>
      </c>
      <c r="B289" s="93"/>
      <c r="C289" s="93"/>
      <c r="D289" s="197"/>
      <c r="E289" s="197">
        <f>'5.Closing Stock &amp; W Capital'!F7</f>
        <v>594459.05032320006</v>
      </c>
      <c r="F289" s="197">
        <f>'5.Closing Stock &amp; W Capital'!G7</f>
        <v>702272.43881928001</v>
      </c>
      <c r="G289" s="197">
        <f>'5.Closing Stock &amp; W Capital'!H7</f>
        <v>819267.30668915994</v>
      </c>
      <c r="H289" s="197">
        <f>'5.Closing Stock &amp; W Capital'!I7</f>
        <v>946325.37769147998</v>
      </c>
      <c r="I289" s="197">
        <f>'5.Closing Stock &amp; W Capital'!J7</f>
        <v>1083915.7202126838</v>
      </c>
      <c r="J289" s="197">
        <f>'5.Closing Stock &amp; W Capital'!K7</f>
        <v>1232899.2835417797</v>
      </c>
      <c r="K289" s="92"/>
      <c r="L289" s="92"/>
    </row>
    <row r="290" spans="1:20">
      <c r="A290" s="97" t="s">
        <v>346</v>
      </c>
      <c r="B290" s="93"/>
      <c r="C290" s="197"/>
      <c r="D290" s="197">
        <f>'5.Closing Stock &amp; W Capital'!E16</f>
        <v>594459.05032320006</v>
      </c>
      <c r="E290" s="197">
        <f>'5.Closing Stock &amp; W Capital'!F16</f>
        <v>702272.43881928001</v>
      </c>
      <c r="F290" s="197">
        <f>'5.Closing Stock &amp; W Capital'!G16</f>
        <v>819267.30668915994</v>
      </c>
      <c r="G290" s="197">
        <f>'5.Closing Stock &amp; W Capital'!H16</f>
        <v>946325.37769147998</v>
      </c>
      <c r="H290" s="197">
        <f>'5.Closing Stock &amp; W Capital'!I16</f>
        <v>1083915.7202126838</v>
      </c>
      <c r="I290" s="197">
        <f>'5.Closing Stock &amp; W Capital'!J16</f>
        <v>1232899.2835417797</v>
      </c>
      <c r="J290" s="197">
        <f>'5.Closing Stock &amp; W Capital'!K16</f>
        <v>1394209.6313676273</v>
      </c>
      <c r="K290" s="92"/>
      <c r="L290" s="92"/>
    </row>
    <row r="291" spans="1:20">
      <c r="A291" s="97"/>
      <c r="B291" s="93"/>
      <c r="C291" s="200"/>
      <c r="D291" s="197"/>
      <c r="E291" s="197"/>
      <c r="F291" s="197"/>
      <c r="G291" s="197"/>
      <c r="H291" s="197"/>
      <c r="I291" s="197"/>
      <c r="J291" s="197"/>
      <c r="K291" s="92"/>
      <c r="L291" s="92"/>
      <c r="M291" s="92"/>
      <c r="N291" s="92"/>
      <c r="O291" s="92"/>
      <c r="P291" s="92"/>
      <c r="Q291" s="92"/>
      <c r="R291" s="92"/>
      <c r="S291" s="92"/>
      <c r="T291" s="92"/>
    </row>
    <row r="292" spans="1:20">
      <c r="A292" s="95" t="s">
        <v>324</v>
      </c>
      <c r="B292" s="95"/>
      <c r="C292" s="95"/>
      <c r="D292" s="113">
        <f t="shared" ref="D292:J292" si="69">SUM(D233:D289)-D290</f>
        <v>29396744.710636802</v>
      </c>
      <c r="E292" s="113">
        <f t="shared" si="69"/>
        <v>35322680.335387923</v>
      </c>
      <c r="F292" s="113">
        <f t="shared" si="69"/>
        <v>41216054.213328116</v>
      </c>
      <c r="G292" s="113">
        <f t="shared" si="69"/>
        <v>47616195.54105638</v>
      </c>
      <c r="H292" s="113">
        <f t="shared" si="69"/>
        <v>54547287.265050009</v>
      </c>
      <c r="I292" s="113">
        <f t="shared" si="69"/>
        <v>62052322.305275761</v>
      </c>
      <c r="J292" s="113">
        <f t="shared" si="69"/>
        <v>70178265.287115768</v>
      </c>
      <c r="K292" s="92"/>
      <c r="L292" s="92"/>
      <c r="M292" s="92"/>
      <c r="N292" s="92"/>
      <c r="O292" s="92"/>
      <c r="P292" s="92"/>
      <c r="Q292" s="92"/>
      <c r="R292" s="92"/>
      <c r="S292" s="92"/>
      <c r="T292" s="92"/>
    </row>
    <row r="293" spans="1:20">
      <c r="A293" s="95" t="s">
        <v>311</v>
      </c>
      <c r="B293" s="93"/>
      <c r="C293" s="93"/>
      <c r="D293" s="108"/>
      <c r="E293" s="108"/>
      <c r="F293" s="108"/>
      <c r="G293" s="108"/>
      <c r="H293" s="108"/>
      <c r="I293" s="93"/>
      <c r="J293" s="93"/>
      <c r="K293" s="92"/>
      <c r="L293" s="92"/>
      <c r="M293" s="92"/>
      <c r="N293" s="92"/>
      <c r="O293" s="92"/>
      <c r="P293" s="92"/>
      <c r="Q293" s="92"/>
      <c r="R293" s="92"/>
      <c r="S293" s="92"/>
      <c r="T293" s="92"/>
    </row>
    <row r="294" spans="1:20">
      <c r="A294" s="93" t="s">
        <v>188</v>
      </c>
      <c r="B294" s="230">
        <v>1</v>
      </c>
      <c r="C294" s="254">
        <v>10000</v>
      </c>
      <c r="D294" s="94">
        <f t="shared" ref="D294:J294" si="70">$B$294*$C$294*12*D172</f>
        <v>120000</v>
      </c>
      <c r="E294" s="94">
        <f t="shared" si="70"/>
        <v>126000</v>
      </c>
      <c r="F294" s="94">
        <f t="shared" si="70"/>
        <v>132300</v>
      </c>
      <c r="G294" s="94">
        <f t="shared" si="70"/>
        <v>138915.00000000003</v>
      </c>
      <c r="H294" s="94">
        <f t="shared" si="70"/>
        <v>145860.75000000003</v>
      </c>
      <c r="I294" s="94">
        <f t="shared" si="70"/>
        <v>153153.78750000003</v>
      </c>
      <c r="J294" s="94">
        <f t="shared" si="70"/>
        <v>160811.47687500005</v>
      </c>
      <c r="K294" s="92"/>
      <c r="L294" s="92"/>
      <c r="M294" s="92"/>
      <c r="N294" s="92"/>
      <c r="O294" s="92"/>
      <c r="P294" s="92"/>
      <c r="Q294" s="92"/>
      <c r="R294" s="92"/>
      <c r="S294" s="92"/>
      <c r="T294" s="92"/>
    </row>
    <row r="295" spans="1:20">
      <c r="A295" s="93" t="s">
        <v>726</v>
      </c>
      <c r="B295" s="230">
        <v>1</v>
      </c>
      <c r="C295" s="254">
        <v>8000</v>
      </c>
      <c r="D295" s="94">
        <f>$B$295*$C$295*12*D172</f>
        <v>96000</v>
      </c>
      <c r="E295" s="94">
        <f t="shared" ref="E295:J295" si="71">$B$295*$C$295*12*E172</f>
        <v>100800</v>
      </c>
      <c r="F295" s="94">
        <f t="shared" si="71"/>
        <v>105840</v>
      </c>
      <c r="G295" s="94">
        <f t="shared" si="71"/>
        <v>111132.00000000001</v>
      </c>
      <c r="H295" s="94">
        <f t="shared" si="71"/>
        <v>116688.60000000002</v>
      </c>
      <c r="I295" s="94">
        <f t="shared" si="71"/>
        <v>122523.03000000003</v>
      </c>
      <c r="J295" s="94">
        <f t="shared" si="71"/>
        <v>128649.18150000004</v>
      </c>
      <c r="K295" s="92"/>
      <c r="L295" s="92"/>
      <c r="M295" s="92"/>
      <c r="N295" s="201"/>
      <c r="O295" s="92"/>
      <c r="P295" s="92"/>
      <c r="Q295" s="92"/>
      <c r="R295" s="92"/>
      <c r="S295" s="92"/>
      <c r="T295" s="92"/>
    </row>
    <row r="296" spans="1:20">
      <c r="A296" s="93" t="s">
        <v>727</v>
      </c>
      <c r="B296" s="230">
        <v>1</v>
      </c>
      <c r="C296" s="254">
        <v>7000</v>
      </c>
      <c r="D296" s="94">
        <f>$B$296*$C$296*12*D172</f>
        <v>84000</v>
      </c>
      <c r="E296" s="94">
        <f t="shared" ref="E296:J296" si="72">$B$296*$C$296*12*E172</f>
        <v>88200</v>
      </c>
      <c r="F296" s="94">
        <f t="shared" si="72"/>
        <v>92610</v>
      </c>
      <c r="G296" s="94">
        <f t="shared" si="72"/>
        <v>97240.500000000015</v>
      </c>
      <c r="H296" s="94">
        <f t="shared" si="72"/>
        <v>102102.52500000002</v>
      </c>
      <c r="I296" s="94">
        <f t="shared" si="72"/>
        <v>107207.65125000002</v>
      </c>
      <c r="J296" s="94">
        <f t="shared" si="72"/>
        <v>112568.03381250004</v>
      </c>
      <c r="K296" s="92"/>
      <c r="L296" s="92"/>
      <c r="M296" s="92"/>
      <c r="N296" s="92"/>
      <c r="O296" s="92"/>
      <c r="P296" s="92"/>
      <c r="Q296" s="92"/>
      <c r="R296" s="92"/>
      <c r="S296" s="92"/>
      <c r="T296" s="92"/>
    </row>
    <row r="297" spans="1:20">
      <c r="A297" s="93"/>
      <c r="B297" s="230"/>
      <c r="C297" s="254"/>
      <c r="D297" s="94"/>
      <c r="E297" s="94"/>
      <c r="F297" s="94"/>
      <c r="G297" s="94"/>
      <c r="H297" s="94"/>
      <c r="I297" s="94"/>
      <c r="J297" s="94"/>
      <c r="K297" s="92"/>
      <c r="L297" s="92"/>
      <c r="M297" s="92"/>
      <c r="N297" s="92"/>
      <c r="O297" s="92"/>
      <c r="P297" s="92"/>
      <c r="Q297" s="92"/>
      <c r="R297" s="92"/>
      <c r="S297" s="92"/>
      <c r="T297" s="92"/>
    </row>
    <row r="298" spans="1:20">
      <c r="A298" s="93"/>
      <c r="B298" s="230"/>
      <c r="C298" s="254"/>
      <c r="D298" s="94"/>
      <c r="E298" s="94"/>
      <c r="F298" s="94"/>
      <c r="G298" s="94"/>
      <c r="H298" s="94"/>
      <c r="I298" s="94"/>
      <c r="J298" s="94"/>
      <c r="K298" s="92"/>
      <c r="L298" s="92"/>
      <c r="M298" s="92"/>
      <c r="N298" s="92"/>
      <c r="O298" s="92"/>
      <c r="P298" s="92"/>
      <c r="Q298" s="92"/>
      <c r="R298" s="92"/>
      <c r="S298" s="92"/>
      <c r="T298" s="92"/>
    </row>
    <row r="299" spans="1:20">
      <c r="A299" s="93"/>
      <c r="B299" s="230"/>
      <c r="C299" s="254"/>
      <c r="D299" s="94"/>
      <c r="E299" s="94"/>
      <c r="F299" s="94"/>
      <c r="G299" s="94"/>
      <c r="H299" s="94"/>
      <c r="I299" s="94"/>
      <c r="J299" s="94"/>
      <c r="K299" s="92"/>
      <c r="L299" s="92"/>
      <c r="M299" s="92"/>
      <c r="N299" s="92"/>
      <c r="O299" s="92"/>
      <c r="P299" s="92"/>
      <c r="Q299" s="92"/>
      <c r="R299" s="92"/>
      <c r="S299" s="92"/>
      <c r="T299" s="92"/>
    </row>
    <row r="300" spans="1:20">
      <c r="A300" s="93"/>
      <c r="B300" s="230"/>
      <c r="C300" s="254"/>
      <c r="D300" s="94"/>
      <c r="E300" s="94"/>
      <c r="F300" s="94"/>
      <c r="G300" s="94"/>
      <c r="H300" s="94"/>
      <c r="I300" s="94"/>
      <c r="J300" s="94"/>
      <c r="K300" s="92"/>
      <c r="L300" s="92"/>
      <c r="M300" s="92"/>
      <c r="N300" s="92"/>
      <c r="O300" s="92"/>
      <c r="P300" s="92"/>
      <c r="Q300" s="92"/>
      <c r="R300" s="92"/>
      <c r="S300" s="92"/>
      <c r="T300" s="92"/>
    </row>
    <row r="301" spans="1:20">
      <c r="A301" s="95" t="s">
        <v>328</v>
      </c>
      <c r="B301" s="235"/>
      <c r="C301" s="235"/>
      <c r="D301" s="113">
        <f t="shared" ref="D301:J301" si="73">SUM(D294:D300)</f>
        <v>300000</v>
      </c>
      <c r="E301" s="113">
        <f t="shared" si="73"/>
        <v>315000</v>
      </c>
      <c r="F301" s="113">
        <f t="shared" si="73"/>
        <v>330750</v>
      </c>
      <c r="G301" s="113">
        <f t="shared" si="73"/>
        <v>347287.50000000006</v>
      </c>
      <c r="H301" s="113">
        <f t="shared" si="73"/>
        <v>364651.87500000006</v>
      </c>
      <c r="I301" s="113">
        <f t="shared" si="73"/>
        <v>382884.46875000012</v>
      </c>
      <c r="J301" s="113">
        <f t="shared" si="73"/>
        <v>402028.69218750019</v>
      </c>
      <c r="K301" s="92"/>
      <c r="L301" s="92"/>
      <c r="M301" s="92"/>
      <c r="N301" s="201"/>
      <c r="O301" s="92"/>
      <c r="P301" s="92"/>
      <c r="Q301" s="92"/>
      <c r="R301" s="92"/>
      <c r="S301" s="92"/>
      <c r="T301" s="92"/>
    </row>
    <row r="302" spans="1:20">
      <c r="A302" s="95" t="s">
        <v>129</v>
      </c>
      <c r="B302" s="95"/>
      <c r="C302" s="95"/>
      <c r="D302" s="113">
        <f t="shared" ref="D302:J302" si="74">D292+D301</f>
        <v>29696744.710636802</v>
      </c>
      <c r="E302" s="113">
        <f t="shared" si="74"/>
        <v>35637680.335387923</v>
      </c>
      <c r="F302" s="113">
        <f t="shared" si="74"/>
        <v>41546804.213328116</v>
      </c>
      <c r="G302" s="113">
        <f t="shared" si="74"/>
        <v>47963483.04105638</v>
      </c>
      <c r="H302" s="113">
        <f t="shared" si="74"/>
        <v>54911939.140050009</v>
      </c>
      <c r="I302" s="113">
        <f t="shared" si="74"/>
        <v>62435206.774025761</v>
      </c>
      <c r="J302" s="113">
        <f t="shared" si="74"/>
        <v>70580293.979303271</v>
      </c>
      <c r="K302" s="92"/>
      <c r="L302" s="92"/>
      <c r="M302" s="92"/>
      <c r="N302" s="92"/>
      <c r="O302" s="92"/>
      <c r="P302" s="92"/>
      <c r="Q302" s="92"/>
      <c r="R302" s="92"/>
      <c r="S302" s="92"/>
      <c r="T302" s="92"/>
    </row>
    <row r="303" spans="1:20">
      <c r="A303" s="93"/>
      <c r="B303" s="93"/>
      <c r="C303" s="93"/>
      <c r="D303" s="108"/>
      <c r="E303" s="108"/>
      <c r="F303" s="108"/>
      <c r="G303" s="108"/>
      <c r="H303" s="108"/>
      <c r="I303" s="93"/>
      <c r="J303" s="93"/>
      <c r="K303" s="92"/>
      <c r="L303" s="92"/>
      <c r="M303" s="92"/>
      <c r="N303" s="92"/>
      <c r="O303" s="92"/>
      <c r="P303" s="92"/>
      <c r="Q303" s="92"/>
      <c r="R303" s="92"/>
      <c r="S303" s="92"/>
      <c r="T303" s="92"/>
    </row>
    <row r="304" spans="1:20">
      <c r="A304" s="95"/>
      <c r="B304" s="95"/>
      <c r="C304" s="95"/>
      <c r="D304" s="108"/>
      <c r="E304" s="108"/>
      <c r="F304" s="108"/>
      <c r="G304" s="108"/>
      <c r="H304" s="108"/>
      <c r="I304" s="93"/>
      <c r="J304" s="93"/>
      <c r="K304" s="92"/>
      <c r="L304" s="92"/>
      <c r="M304" s="92"/>
      <c r="N304" s="92"/>
      <c r="O304" s="92"/>
      <c r="P304" s="92"/>
      <c r="Q304" s="92"/>
      <c r="R304" s="92"/>
      <c r="S304" s="92"/>
      <c r="T304" s="92"/>
    </row>
    <row r="305" spans="1:20">
      <c r="A305" s="95" t="s">
        <v>316</v>
      </c>
      <c r="B305" s="95"/>
      <c r="C305" s="95"/>
      <c r="D305" s="113">
        <f t="shared" ref="D305:J305" si="75">D229-D302</f>
        <v>692052.38401919976</v>
      </c>
      <c r="E305" s="113">
        <f t="shared" si="75"/>
        <v>904409.18984567374</v>
      </c>
      <c r="F305" s="113">
        <f t="shared" si="75"/>
        <v>1095044.5259031653</v>
      </c>
      <c r="G305" s="113">
        <f t="shared" si="75"/>
        <v>1296745.6097592562</v>
      </c>
      <c r="H305" s="113">
        <f t="shared" si="75"/>
        <v>1521902.7916603759</v>
      </c>
      <c r="I305" s="113">
        <f t="shared" si="75"/>
        <v>1766459.1950417981</v>
      </c>
      <c r="J305" s="113">
        <f t="shared" si="75"/>
        <v>2024893.8260278851</v>
      </c>
      <c r="K305" s="92"/>
      <c r="L305" s="92"/>
      <c r="M305" s="92"/>
      <c r="N305" s="92"/>
      <c r="O305" s="92"/>
      <c r="P305" s="92"/>
      <c r="Q305" s="92"/>
      <c r="R305" s="92"/>
      <c r="S305" s="92"/>
      <c r="T305" s="92"/>
    </row>
    <row r="306" spans="1:20">
      <c r="A306" s="92"/>
      <c r="B306" s="92"/>
      <c r="C306" s="92"/>
      <c r="D306" s="92"/>
      <c r="E306" s="92"/>
      <c r="F306" s="92"/>
      <c r="G306" s="92"/>
      <c r="H306" s="92"/>
      <c r="I306" s="92"/>
      <c r="J306" s="92"/>
    </row>
    <row r="307" spans="1:20">
      <c r="A307" s="92" t="s">
        <v>51</v>
      </c>
      <c r="B307" s="92"/>
      <c r="C307" s="92"/>
      <c r="D307" s="92"/>
      <c r="E307" s="92"/>
      <c r="F307" s="92"/>
      <c r="G307" s="92"/>
      <c r="H307" s="92"/>
      <c r="I307" s="92"/>
      <c r="J307" s="92"/>
    </row>
    <row r="308" spans="1:20">
      <c r="A308" s="429" t="s">
        <v>427</v>
      </c>
      <c r="B308" s="429"/>
      <c r="C308" s="429"/>
      <c r="D308" s="429"/>
      <c r="E308" s="429"/>
      <c r="F308" s="429"/>
      <c r="G308" s="429"/>
      <c r="H308" s="429"/>
      <c r="I308" s="429"/>
      <c r="J308" s="429"/>
    </row>
    <row r="310" spans="1:20">
      <c r="A310" t="s">
        <v>541</v>
      </c>
    </row>
    <row r="311" spans="1:20">
      <c r="A311">
        <v>1</v>
      </c>
      <c r="B311" t="s">
        <v>552</v>
      </c>
    </row>
    <row r="312" spans="1:20">
      <c r="A312">
        <v>2</v>
      </c>
      <c r="B312" t="s">
        <v>553</v>
      </c>
    </row>
    <row r="313" spans="1:20">
      <c r="A313">
        <v>3</v>
      </c>
      <c r="B313" s="92" t="s">
        <v>605</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topLeftCell="A160" zoomScale="130" zoomScaleNormal="130" zoomScaleSheetLayoutView="80" workbookViewId="0">
      <selection activeCell="A194" sqref="A194"/>
    </sheetView>
  </sheetViews>
  <sheetFormatPr defaultRowHeight="14.4"/>
  <cols>
    <col min="1" max="1" width="41.6640625" bestFit="1" customWidth="1"/>
    <col min="2" max="2" width="10.5546875" customWidth="1"/>
    <col min="3" max="3" width="10.5546875" bestFit="1" customWidth="1"/>
    <col min="4" max="4" width="15.109375" customWidth="1"/>
    <col min="5" max="8" width="17.33203125" customWidth="1"/>
    <col min="9" max="10" width="16.88671875" bestFit="1" customWidth="1"/>
  </cols>
  <sheetData>
    <row r="3" spans="1:8" ht="17.399999999999999">
      <c r="A3" s="428" t="s">
        <v>589</v>
      </c>
      <c r="B3" s="428"/>
      <c r="C3" s="428"/>
      <c r="D3" s="428"/>
      <c r="E3" s="428"/>
      <c r="F3" s="428"/>
      <c r="G3" s="428"/>
      <c r="H3" s="428"/>
    </row>
    <row r="4" spans="1:8" ht="17.399999999999999">
      <c r="A4" s="428" t="s">
        <v>590</v>
      </c>
      <c r="B4" s="428"/>
      <c r="C4" s="428"/>
      <c r="D4" s="428"/>
      <c r="E4" s="428"/>
      <c r="F4" s="428"/>
      <c r="G4" s="428"/>
      <c r="H4" s="428"/>
    </row>
    <row r="5" spans="1:8">
      <c r="A5" s="92" t="s">
        <v>162</v>
      </c>
      <c r="B5" s="247">
        <v>1</v>
      </c>
      <c r="C5" s="92" t="s">
        <v>472</v>
      </c>
      <c r="D5" s="92"/>
      <c r="E5" s="92"/>
      <c r="F5" s="92"/>
      <c r="G5" s="92"/>
      <c r="H5" s="92"/>
    </row>
    <row r="6" spans="1:8">
      <c r="A6" s="92" t="s">
        <v>163</v>
      </c>
      <c r="B6" s="279">
        <v>1</v>
      </c>
      <c r="C6" s="92"/>
      <c r="D6" s="92"/>
      <c r="E6" s="92"/>
      <c r="F6" s="92"/>
      <c r="G6" s="92"/>
      <c r="H6" s="92"/>
    </row>
    <row r="7" spans="1:8">
      <c r="A7" s="92"/>
      <c r="B7" s="279"/>
      <c r="C7" s="92"/>
      <c r="D7" s="92"/>
      <c r="E7" s="92"/>
      <c r="F7" s="92"/>
      <c r="G7" s="92"/>
      <c r="H7" s="92"/>
    </row>
    <row r="8" spans="1:8">
      <c r="A8" s="92"/>
      <c r="B8" s="279"/>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313">
        <f>B32/($B$5*$B$6)*0</f>
        <v>0</v>
      </c>
      <c r="C12" s="313">
        <f t="shared" ref="C12:H12" si="0">C32/($B$5*$B$6)</f>
        <v>0</v>
      </c>
      <c r="D12" s="313">
        <f t="shared" si="0"/>
        <v>0</v>
      </c>
      <c r="E12" s="313">
        <f t="shared" si="0"/>
        <v>0</v>
      </c>
      <c r="F12" s="313">
        <f t="shared" si="0"/>
        <v>0</v>
      </c>
      <c r="G12" s="313">
        <f t="shared" si="0"/>
        <v>0</v>
      </c>
      <c r="H12" s="313">
        <f t="shared" si="0"/>
        <v>0</v>
      </c>
    </row>
    <row r="13" spans="1:8">
      <c r="A13" s="93" t="str">
        <f>'10.Grain Production details'!A67</f>
        <v>Soybean</v>
      </c>
      <c r="B13" s="93">
        <f>'10.Grain Production details'!B67</f>
        <v>0</v>
      </c>
      <c r="C13" s="93">
        <f>'10.Grain Production details'!C67</f>
        <v>0</v>
      </c>
      <c r="D13" s="93">
        <f>'10.Grain Production details'!D67</f>
        <v>0</v>
      </c>
      <c r="E13" s="93">
        <f>'10.Grain Production details'!E67</f>
        <v>0</v>
      </c>
      <c r="F13" s="93">
        <f>'10.Grain Production details'!F67</f>
        <v>0</v>
      </c>
      <c r="G13" s="93">
        <f>'10.Grain Production details'!G67</f>
        <v>0</v>
      </c>
      <c r="H13" s="93">
        <f>'10.Grain Production details'!H67</f>
        <v>0</v>
      </c>
    </row>
    <row r="14" spans="1:8">
      <c r="A14" s="93" t="str">
        <f>'10.Grain Production details'!A68</f>
        <v>Red Gram/Tur</v>
      </c>
      <c r="B14" s="93">
        <f>'10.Grain Production details'!B68*0</f>
        <v>0</v>
      </c>
      <c r="C14" s="93">
        <f>'10.Grain Production details'!C68*0</f>
        <v>0</v>
      </c>
      <c r="D14" s="93">
        <f>'10.Grain Production details'!D68*0</f>
        <v>0</v>
      </c>
      <c r="E14" s="93">
        <f>'10.Grain Production details'!E68*0</f>
        <v>0</v>
      </c>
      <c r="F14" s="93">
        <f>'10.Grain Production details'!F68*0</f>
        <v>0</v>
      </c>
      <c r="G14" s="93">
        <f>'10.Grain Production details'!G68*0</f>
        <v>0</v>
      </c>
      <c r="H14" s="93">
        <f>'10.Grain Production details'!H68*0</f>
        <v>0</v>
      </c>
    </row>
    <row r="15" spans="1:8">
      <c r="A15" s="93" t="str">
        <f>'10.Grain Production details'!A69</f>
        <v>Paddy/Rice</v>
      </c>
      <c r="B15" s="93">
        <f>'10.Grain Production details'!B69</f>
        <v>0</v>
      </c>
      <c r="C15" s="93">
        <f>'10.Grain Production details'!C69</f>
        <v>0</v>
      </c>
      <c r="D15" s="93">
        <f>'10.Grain Production details'!D69</f>
        <v>0</v>
      </c>
      <c r="E15" s="93">
        <f>'10.Grain Production details'!E69</f>
        <v>0</v>
      </c>
      <c r="F15" s="93">
        <f>'10.Grain Production details'!F69</f>
        <v>0</v>
      </c>
      <c r="G15" s="93">
        <f>'10.Grain Production details'!G69</f>
        <v>0</v>
      </c>
      <c r="H15" s="93">
        <f>'10.Grain Production details'!H69</f>
        <v>0</v>
      </c>
    </row>
    <row r="16" spans="1:8">
      <c r="A16" s="93" t="str">
        <f>'10.Grain Production details'!A70</f>
        <v>Green Gram/ Moong</v>
      </c>
      <c r="B16" s="93">
        <f>'10.Grain Production details'!B70*0</f>
        <v>0</v>
      </c>
      <c r="C16" s="93">
        <f>'10.Grain Production details'!C70*0</f>
        <v>0</v>
      </c>
      <c r="D16" s="93">
        <f>'10.Grain Production details'!D70*0</f>
        <v>0</v>
      </c>
      <c r="E16" s="93">
        <f>'10.Grain Production details'!E70*0</f>
        <v>0</v>
      </c>
      <c r="F16" s="93">
        <f>'10.Grain Production details'!F70*0</f>
        <v>0</v>
      </c>
      <c r="G16" s="93">
        <f>'10.Grain Production details'!G70*0</f>
        <v>0</v>
      </c>
      <c r="H16" s="93">
        <f>'10.Grain Production details'!H70*0</f>
        <v>0</v>
      </c>
    </row>
    <row r="17" spans="1:8">
      <c r="A17" s="93" t="str">
        <f>'10.Grain Production details'!A71</f>
        <v>Maize</v>
      </c>
      <c r="B17" s="93">
        <f>'10.Grain Production details'!B71</f>
        <v>0</v>
      </c>
      <c r="C17" s="93">
        <f>'10.Grain Production details'!C71</f>
        <v>0</v>
      </c>
      <c r="D17" s="93">
        <f>'10.Grain Production details'!D71</f>
        <v>0</v>
      </c>
      <c r="E17" s="93">
        <f>'10.Grain Production details'!E71</f>
        <v>0</v>
      </c>
      <c r="F17" s="93">
        <f>'10.Grain Production details'!F71</f>
        <v>0</v>
      </c>
      <c r="G17" s="93">
        <f>'10.Grain Production details'!G71</f>
        <v>0</v>
      </c>
      <c r="H17" s="93">
        <f>'10.Grain Production details'!H71</f>
        <v>0</v>
      </c>
    </row>
    <row r="18" spans="1:8">
      <c r="A18" s="93" t="str">
        <f>'10.Grain Production details'!A72</f>
        <v>Black Gram/Udid</v>
      </c>
      <c r="B18" s="93">
        <f>'10.Grain Production details'!B72*0</f>
        <v>0</v>
      </c>
      <c r="C18" s="93">
        <f>'10.Grain Production details'!C72*0</f>
        <v>0</v>
      </c>
      <c r="D18" s="93">
        <f>'10.Grain Production details'!D72*0</f>
        <v>0</v>
      </c>
      <c r="E18" s="93">
        <f>'10.Grain Production details'!E72*0</f>
        <v>0</v>
      </c>
      <c r="F18" s="93">
        <f>'10.Grain Production details'!F72*0</f>
        <v>0</v>
      </c>
      <c r="G18" s="93">
        <f>'10.Grain Production details'!G72*0</f>
        <v>0</v>
      </c>
      <c r="H18" s="93">
        <f>'10.Grain Production details'!H72*0</f>
        <v>0</v>
      </c>
    </row>
    <row r="19" spans="1:8">
      <c r="A19" s="93" t="str">
        <f>'10.Grain Production details'!A73</f>
        <v>Bajra</v>
      </c>
      <c r="B19" s="93">
        <f>'10.Grain Production details'!B73*0</f>
        <v>0</v>
      </c>
      <c r="C19" s="93">
        <f>'10.Grain Production details'!C73*0</f>
        <v>0</v>
      </c>
      <c r="D19" s="93">
        <f>'10.Grain Production details'!D73*0</f>
        <v>0</v>
      </c>
      <c r="E19" s="93">
        <f>'10.Grain Production details'!E73*0</f>
        <v>0</v>
      </c>
      <c r="F19" s="93">
        <f>'10.Grain Production details'!F73*0</f>
        <v>0</v>
      </c>
      <c r="G19" s="93">
        <f>'10.Grain Production details'!G73*0</f>
        <v>0</v>
      </c>
      <c r="H19" s="93">
        <f>'10.Grain Production details'!H73*0</f>
        <v>0</v>
      </c>
    </row>
    <row r="20" spans="1:8">
      <c r="A20" s="93" t="str">
        <f>'10.Grain Production details'!A74</f>
        <v>Jawar</v>
      </c>
      <c r="B20" s="93">
        <f>'10.Grain Production details'!B74*0</f>
        <v>0</v>
      </c>
      <c r="C20" s="93">
        <f>'10.Grain Production details'!C74*0</f>
        <v>0</v>
      </c>
      <c r="D20" s="93">
        <f>'10.Grain Production details'!D74*0</f>
        <v>0</v>
      </c>
      <c r="E20" s="93">
        <f>'10.Grain Production details'!E74*0</f>
        <v>0</v>
      </c>
      <c r="F20" s="93">
        <f>'10.Grain Production details'!F74*0</f>
        <v>0</v>
      </c>
      <c r="G20" s="93">
        <f>'10.Grain Production details'!G74*0</f>
        <v>0</v>
      </c>
      <c r="H20" s="93">
        <f>'10.Grain Production details'!H74*0</f>
        <v>0</v>
      </c>
    </row>
    <row r="21" spans="1:8">
      <c r="A21" s="93" t="str">
        <f>'10.Grain Production details'!A75</f>
        <v>Sunflower</v>
      </c>
      <c r="B21" s="93">
        <f>'10.Grain Production details'!B75</f>
        <v>0</v>
      </c>
      <c r="C21" s="93">
        <f>'10.Grain Production details'!C75</f>
        <v>0</v>
      </c>
      <c r="D21" s="93">
        <f>'10.Grain Production details'!D75</f>
        <v>0</v>
      </c>
      <c r="E21" s="93">
        <f>'10.Grain Production details'!E75</f>
        <v>0</v>
      </c>
      <c r="F21" s="93">
        <f>'10.Grain Production details'!F75</f>
        <v>0</v>
      </c>
      <c r="G21" s="93">
        <f>'10.Grain Production details'!G75</f>
        <v>0</v>
      </c>
      <c r="H21" s="93">
        <f>'10.Grain Production details'!H75</f>
        <v>0</v>
      </c>
    </row>
    <row r="22" spans="1:8">
      <c r="A22" s="93" t="str">
        <f>'10.Grain Production details'!A76</f>
        <v>Wheat</v>
      </c>
      <c r="B22" s="93">
        <f>'10.Grain Production details'!B76*0</f>
        <v>0</v>
      </c>
      <c r="C22" s="93">
        <f>'10.Grain Production details'!C76*0</f>
        <v>0</v>
      </c>
      <c r="D22" s="93">
        <f>'10.Grain Production details'!D76*0</f>
        <v>0</v>
      </c>
      <c r="E22" s="93">
        <f>'10.Grain Production details'!E76*0</f>
        <v>0</v>
      </c>
      <c r="F22" s="93">
        <f>'10.Grain Production details'!F76*0</f>
        <v>0</v>
      </c>
      <c r="G22" s="93">
        <f>'10.Grain Production details'!G76*0</f>
        <v>0</v>
      </c>
      <c r="H22" s="93">
        <f>'10.Grain Production details'!H76*0</f>
        <v>0</v>
      </c>
    </row>
    <row r="23" spans="1:8">
      <c r="A23" s="93" t="str">
        <f>'10.Grain Production details'!A77</f>
        <v>Bengal Gram/Channa</v>
      </c>
      <c r="B23" s="93">
        <f>'10.Grain Production details'!B77*0</f>
        <v>0</v>
      </c>
      <c r="C23" s="93">
        <f>'10.Grain Production details'!C77*0</f>
        <v>0</v>
      </c>
      <c r="D23" s="93">
        <f>'10.Grain Production details'!D77*0</f>
        <v>0</v>
      </c>
      <c r="E23" s="93">
        <f>'10.Grain Production details'!E77*0</f>
        <v>0</v>
      </c>
      <c r="F23" s="93">
        <f>'10.Grain Production details'!F77*0</f>
        <v>0</v>
      </c>
      <c r="G23" s="93">
        <f>'10.Grain Production details'!G77*0</f>
        <v>0</v>
      </c>
      <c r="H23" s="93">
        <f>'10.Grain Production details'!H77*0</f>
        <v>0</v>
      </c>
    </row>
    <row r="24" spans="1:8">
      <c r="A24" s="93" t="str">
        <f>'10.Grain Production details'!A78</f>
        <v>Jawar</v>
      </c>
      <c r="B24" s="93">
        <f>'10.Grain Production details'!B78*0</f>
        <v>0</v>
      </c>
      <c r="C24" s="93">
        <f>'10.Grain Production details'!C78*0</f>
        <v>0</v>
      </c>
      <c r="D24" s="93">
        <f>'10.Grain Production details'!D78*0</f>
        <v>0</v>
      </c>
      <c r="E24" s="93">
        <f>'10.Grain Production details'!E78*0</f>
        <v>0</v>
      </c>
      <c r="F24" s="93">
        <f>'10.Grain Production details'!F78*0</f>
        <v>0</v>
      </c>
      <c r="G24" s="93">
        <f>'10.Grain Production details'!G78*0</f>
        <v>0</v>
      </c>
      <c r="H24" s="93">
        <f>'10.Grain Production details'!H78*0</f>
        <v>0</v>
      </c>
    </row>
    <row r="25" spans="1:8">
      <c r="A25" s="93" t="str">
        <f>'10.Grain Production details'!A79</f>
        <v>Maize</v>
      </c>
      <c r="B25" s="93">
        <f>'10.Grain Production details'!B79</f>
        <v>0</v>
      </c>
      <c r="C25" s="93">
        <f>'10.Grain Production details'!C79</f>
        <v>0</v>
      </c>
      <c r="D25" s="93">
        <f>'10.Grain Production details'!D79</f>
        <v>0</v>
      </c>
      <c r="E25" s="93">
        <f>'10.Grain Production details'!E79</f>
        <v>0</v>
      </c>
      <c r="F25" s="93">
        <f>'10.Grain Production details'!F79</f>
        <v>0</v>
      </c>
      <c r="G25" s="93">
        <f>'10.Grain Production details'!G79</f>
        <v>0</v>
      </c>
      <c r="H25" s="93">
        <f>'10.Grain Production details'!H79</f>
        <v>0</v>
      </c>
    </row>
    <row r="26" spans="1:8">
      <c r="A26" s="93" t="str">
        <f>'10.Grain Production details'!A80</f>
        <v>Safflower</v>
      </c>
      <c r="B26" s="93">
        <f>'10.Grain Production details'!B80*0</f>
        <v>0</v>
      </c>
      <c r="C26" s="93">
        <f>'10.Grain Production details'!C80*0</f>
        <v>0</v>
      </c>
      <c r="D26" s="93">
        <f>'10.Grain Production details'!D80*0</f>
        <v>0</v>
      </c>
      <c r="E26" s="93">
        <f>'10.Grain Production details'!E80*0</f>
        <v>0</v>
      </c>
      <c r="F26" s="93">
        <f>'10.Grain Production details'!F80*0</f>
        <v>0</v>
      </c>
      <c r="G26" s="93">
        <f>'10.Grain Production details'!G80*0</f>
        <v>0</v>
      </c>
      <c r="H26" s="93">
        <f>'10.Grain Production details'!H80*0</f>
        <v>0</v>
      </c>
    </row>
    <row r="27" spans="1:8">
      <c r="A27" s="93">
        <f>'10.Grain Production details'!A81</f>
        <v>0</v>
      </c>
      <c r="B27" s="93">
        <f>'10.Grain Production details'!B81</f>
        <v>0</v>
      </c>
      <c r="C27" s="93">
        <f>'10.Grain Production details'!C81</f>
        <v>0</v>
      </c>
      <c r="D27" s="93">
        <f>'10.Grain Production details'!D81</f>
        <v>0</v>
      </c>
      <c r="E27" s="93">
        <f>'10.Grain Production details'!E81</f>
        <v>0</v>
      </c>
      <c r="F27" s="93">
        <f>'10.Grain Production details'!F81</f>
        <v>0</v>
      </c>
      <c r="G27" s="93">
        <f>'10.Grain Production details'!G81</f>
        <v>0</v>
      </c>
      <c r="H27" s="93">
        <f>'10.Grain Production details'!H81</f>
        <v>0</v>
      </c>
    </row>
    <row r="28" spans="1:8">
      <c r="A28" s="93">
        <f>'10.Grain Production details'!A82</f>
        <v>0</v>
      </c>
      <c r="B28" s="93">
        <f>'10.Grain Production details'!B82</f>
        <v>0</v>
      </c>
      <c r="C28" s="93">
        <f>'10.Grain Production details'!C82</f>
        <v>0</v>
      </c>
      <c r="D28" s="93">
        <f>'10.Grain Production details'!D82</f>
        <v>0</v>
      </c>
      <c r="E28" s="93">
        <f>'10.Grain Production details'!E82</f>
        <v>0</v>
      </c>
      <c r="F28" s="93">
        <f>'10.Grain Production details'!F82</f>
        <v>0</v>
      </c>
      <c r="G28" s="93">
        <f>'10.Grain Production details'!G82</f>
        <v>0</v>
      </c>
      <c r="H28" s="93">
        <f>'10.Grain Production details'!H82</f>
        <v>0</v>
      </c>
    </row>
    <row r="29" spans="1:8">
      <c r="A29" s="93">
        <f>'10.Grain Production details'!A83</f>
        <v>0</v>
      </c>
      <c r="B29" s="93">
        <f>'10.Grain Production details'!B83</f>
        <v>0</v>
      </c>
      <c r="C29" s="93">
        <f>'10.Grain Production details'!C83</f>
        <v>0</v>
      </c>
      <c r="D29" s="93">
        <f>'10.Grain Production details'!D83</f>
        <v>0</v>
      </c>
      <c r="E29" s="93">
        <f>'10.Grain Production details'!E83</f>
        <v>0</v>
      </c>
      <c r="F29" s="93">
        <f>'10.Grain Production details'!F83</f>
        <v>0</v>
      </c>
      <c r="G29" s="93">
        <f>'10.Grain Production details'!G83</f>
        <v>0</v>
      </c>
      <c r="H29" s="93">
        <f>'10.Grain Production details'!H83</f>
        <v>0</v>
      </c>
    </row>
    <row r="30" spans="1:8">
      <c r="A30" s="93" t="str">
        <f>'10.Grain Production details'!A84</f>
        <v>Groundnut</v>
      </c>
      <c r="B30" s="93">
        <f>'10.Grain Production details'!B84</f>
        <v>0</v>
      </c>
      <c r="C30" s="93">
        <f>'10.Grain Production details'!C84</f>
        <v>0</v>
      </c>
      <c r="D30" s="93">
        <f>'10.Grain Production details'!D84</f>
        <v>0</v>
      </c>
      <c r="E30" s="93">
        <f>'10.Grain Production details'!E84</f>
        <v>0</v>
      </c>
      <c r="F30" s="93">
        <f>'10.Grain Production details'!F84</f>
        <v>0</v>
      </c>
      <c r="G30" s="93">
        <f>'10.Grain Production details'!G84</f>
        <v>0</v>
      </c>
      <c r="H30" s="93">
        <f>'10.Grain Production details'!H84</f>
        <v>0</v>
      </c>
    </row>
    <row r="31" spans="1:8">
      <c r="A31" s="93">
        <f>'10.Grain Production details'!A85</f>
        <v>0</v>
      </c>
      <c r="B31" s="93">
        <f>'10.Grain Production details'!B85</f>
        <v>0</v>
      </c>
      <c r="C31" s="93">
        <f>'10.Grain Production details'!C85</f>
        <v>0</v>
      </c>
      <c r="D31" s="93">
        <f>'10.Grain Production details'!D85</f>
        <v>0</v>
      </c>
      <c r="E31" s="93">
        <f>'10.Grain Production details'!E85</f>
        <v>0</v>
      </c>
      <c r="F31" s="93">
        <f>'10.Grain Production details'!F85</f>
        <v>0</v>
      </c>
      <c r="G31" s="93">
        <f>'10.Grain Production details'!G85</f>
        <v>0</v>
      </c>
      <c r="H31" s="93">
        <f>'10.Grain Production details'!H85</f>
        <v>0</v>
      </c>
    </row>
    <row r="32" spans="1:8">
      <c r="A32" s="93" t="s">
        <v>463</v>
      </c>
      <c r="B32" s="93">
        <f>SUM(B13:B31)</f>
        <v>0</v>
      </c>
      <c r="C32" s="93">
        <f t="shared" ref="C32:H32" si="1">SUM(C13:C31)</f>
        <v>0</v>
      </c>
      <c r="D32" s="93">
        <f t="shared" si="1"/>
        <v>0</v>
      </c>
      <c r="E32" s="93">
        <f t="shared" si="1"/>
        <v>0</v>
      </c>
      <c r="F32" s="93">
        <f t="shared" si="1"/>
        <v>0</v>
      </c>
      <c r="G32" s="93">
        <f t="shared" si="1"/>
        <v>0</v>
      </c>
      <c r="H32" s="93">
        <f t="shared" si="1"/>
        <v>0</v>
      </c>
    </row>
    <row r="33" spans="1:8">
      <c r="A33" s="323" t="s">
        <v>166</v>
      </c>
      <c r="B33" s="278">
        <v>0.5</v>
      </c>
      <c r="C33" s="278">
        <f>B33</f>
        <v>0.5</v>
      </c>
      <c r="D33" s="278">
        <f t="shared" ref="D33:H33" si="2">C33</f>
        <v>0.5</v>
      </c>
      <c r="E33" s="278">
        <f t="shared" si="2"/>
        <v>0.5</v>
      </c>
      <c r="F33" s="278">
        <f t="shared" si="2"/>
        <v>0.5</v>
      </c>
      <c r="G33" s="278">
        <f t="shared" si="2"/>
        <v>0.5</v>
      </c>
      <c r="H33" s="278">
        <f t="shared" si="2"/>
        <v>0.5</v>
      </c>
    </row>
    <row r="34" spans="1:8">
      <c r="A34" s="97" t="s">
        <v>473</v>
      </c>
      <c r="B34" s="324">
        <f>1-B33</f>
        <v>0.5</v>
      </c>
      <c r="C34" s="324">
        <f t="shared" ref="C34:H34" si="3">1-C33</f>
        <v>0.5</v>
      </c>
      <c r="D34" s="324">
        <f t="shared" si="3"/>
        <v>0.5</v>
      </c>
      <c r="E34" s="324">
        <f t="shared" si="3"/>
        <v>0.5</v>
      </c>
      <c r="F34" s="324">
        <f t="shared" si="3"/>
        <v>0.5</v>
      </c>
      <c r="G34" s="324">
        <f t="shared" si="3"/>
        <v>0.5</v>
      </c>
      <c r="H34" s="324">
        <f t="shared" si="3"/>
        <v>0.5</v>
      </c>
    </row>
    <row r="35" spans="1:8">
      <c r="A35" s="95" t="s">
        <v>166</v>
      </c>
      <c r="B35" s="258">
        <f>B32*B33</f>
        <v>0</v>
      </c>
      <c r="C35" s="258">
        <f t="shared" ref="C35:H35" si="4">C32*C33</f>
        <v>0</v>
      </c>
      <c r="D35" s="258">
        <f t="shared" si="4"/>
        <v>0</v>
      </c>
      <c r="E35" s="258">
        <f t="shared" si="4"/>
        <v>0</v>
      </c>
      <c r="F35" s="258">
        <f t="shared" si="4"/>
        <v>0</v>
      </c>
      <c r="G35" s="258">
        <f t="shared" si="4"/>
        <v>0</v>
      </c>
      <c r="H35" s="258">
        <f t="shared" si="4"/>
        <v>0</v>
      </c>
    </row>
    <row r="36" spans="1:8">
      <c r="A36" s="95" t="s">
        <v>167</v>
      </c>
      <c r="B36" s="113"/>
      <c r="C36" s="113"/>
      <c r="D36" s="113"/>
      <c r="E36" s="113"/>
      <c r="F36" s="113"/>
      <c r="G36" s="113"/>
      <c r="H36" s="113"/>
    </row>
    <row r="37" spans="1:8">
      <c r="A37" s="93" t="str">
        <f t="shared" ref="A37:A55" si="5">A13</f>
        <v>Soybean</v>
      </c>
      <c r="B37" s="94">
        <f t="shared" ref="B37:B55" si="6">B13*$B$34</f>
        <v>0</v>
      </c>
      <c r="C37" s="94">
        <f t="shared" ref="C37:H37" si="7">C13*$B$34</f>
        <v>0</v>
      </c>
      <c r="D37" s="94">
        <f t="shared" si="7"/>
        <v>0</v>
      </c>
      <c r="E37" s="94">
        <f t="shared" si="7"/>
        <v>0</v>
      </c>
      <c r="F37" s="94">
        <f t="shared" si="7"/>
        <v>0</v>
      </c>
      <c r="G37" s="94">
        <f t="shared" si="7"/>
        <v>0</v>
      </c>
      <c r="H37" s="94">
        <f t="shared" si="7"/>
        <v>0</v>
      </c>
    </row>
    <row r="38" spans="1:8">
      <c r="A38" s="93" t="str">
        <f t="shared" si="5"/>
        <v>Red Gram/Tur</v>
      </c>
      <c r="B38" s="94">
        <f t="shared" si="6"/>
        <v>0</v>
      </c>
      <c r="C38" s="94">
        <f t="shared" ref="C38:C55" si="8">C14*$C$34</f>
        <v>0</v>
      </c>
      <c r="D38" s="94">
        <f t="shared" ref="D38:D55" si="9">D14*$D$34</f>
        <v>0</v>
      </c>
      <c r="E38" s="94">
        <f t="shared" ref="E38:E55" si="10">E14*$E$34</f>
        <v>0</v>
      </c>
      <c r="F38" s="94">
        <f t="shared" ref="F38:F55" si="11">F14*$F$34</f>
        <v>0</v>
      </c>
      <c r="G38" s="94">
        <f t="shared" ref="G38:G55" si="12">G14*$G$34</f>
        <v>0</v>
      </c>
      <c r="H38" s="94">
        <f t="shared" ref="H38:H55" si="13">H14*$H$34</f>
        <v>0</v>
      </c>
    </row>
    <row r="39" spans="1:8">
      <c r="A39" s="93" t="str">
        <f t="shared" si="5"/>
        <v>Paddy/Rice</v>
      </c>
      <c r="B39" s="94">
        <f t="shared" si="6"/>
        <v>0</v>
      </c>
      <c r="C39" s="94">
        <f t="shared" si="8"/>
        <v>0</v>
      </c>
      <c r="D39" s="94">
        <f t="shared" si="9"/>
        <v>0</v>
      </c>
      <c r="E39" s="94">
        <f t="shared" si="10"/>
        <v>0</v>
      </c>
      <c r="F39" s="94">
        <f t="shared" si="11"/>
        <v>0</v>
      </c>
      <c r="G39" s="94">
        <f t="shared" si="12"/>
        <v>0</v>
      </c>
      <c r="H39" s="94">
        <f t="shared" si="13"/>
        <v>0</v>
      </c>
    </row>
    <row r="40" spans="1:8">
      <c r="A40" s="93" t="str">
        <f t="shared" si="5"/>
        <v>Green Gram/ Moong</v>
      </c>
      <c r="B40" s="94">
        <f t="shared" si="6"/>
        <v>0</v>
      </c>
      <c r="C40" s="94">
        <f t="shared" si="8"/>
        <v>0</v>
      </c>
      <c r="D40" s="94">
        <f t="shared" si="9"/>
        <v>0</v>
      </c>
      <c r="E40" s="94">
        <f t="shared" si="10"/>
        <v>0</v>
      </c>
      <c r="F40" s="94">
        <f t="shared" si="11"/>
        <v>0</v>
      </c>
      <c r="G40" s="94">
        <f t="shared" si="12"/>
        <v>0</v>
      </c>
      <c r="H40" s="94">
        <f t="shared" si="13"/>
        <v>0</v>
      </c>
    </row>
    <row r="41" spans="1:8">
      <c r="A41" s="93" t="str">
        <f t="shared" si="5"/>
        <v>Maize</v>
      </c>
      <c r="B41" s="94">
        <f t="shared" si="6"/>
        <v>0</v>
      </c>
      <c r="C41" s="94">
        <f t="shared" si="8"/>
        <v>0</v>
      </c>
      <c r="D41" s="94">
        <f t="shared" si="9"/>
        <v>0</v>
      </c>
      <c r="E41" s="94">
        <f t="shared" si="10"/>
        <v>0</v>
      </c>
      <c r="F41" s="94">
        <f t="shared" si="11"/>
        <v>0</v>
      </c>
      <c r="G41" s="94">
        <f t="shared" si="12"/>
        <v>0</v>
      </c>
      <c r="H41" s="94">
        <f t="shared" si="13"/>
        <v>0</v>
      </c>
    </row>
    <row r="42" spans="1:8">
      <c r="A42" s="93" t="str">
        <f t="shared" si="5"/>
        <v>Black Gram/Udid</v>
      </c>
      <c r="B42" s="94">
        <f t="shared" si="6"/>
        <v>0</v>
      </c>
      <c r="C42" s="94">
        <f t="shared" si="8"/>
        <v>0</v>
      </c>
      <c r="D42" s="94">
        <f t="shared" si="9"/>
        <v>0</v>
      </c>
      <c r="E42" s="94">
        <f t="shared" si="10"/>
        <v>0</v>
      </c>
      <c r="F42" s="94">
        <f t="shared" si="11"/>
        <v>0</v>
      </c>
      <c r="G42" s="94">
        <f t="shared" si="12"/>
        <v>0</v>
      </c>
      <c r="H42" s="94">
        <f t="shared" si="13"/>
        <v>0</v>
      </c>
    </row>
    <row r="43" spans="1:8">
      <c r="A43" s="93" t="str">
        <f t="shared" si="5"/>
        <v>Bajra</v>
      </c>
      <c r="B43" s="94">
        <f t="shared" si="6"/>
        <v>0</v>
      </c>
      <c r="C43" s="94">
        <f t="shared" si="8"/>
        <v>0</v>
      </c>
      <c r="D43" s="94">
        <f t="shared" si="9"/>
        <v>0</v>
      </c>
      <c r="E43" s="94">
        <f t="shared" si="10"/>
        <v>0</v>
      </c>
      <c r="F43" s="94">
        <f t="shared" si="11"/>
        <v>0</v>
      </c>
      <c r="G43" s="94">
        <f t="shared" si="12"/>
        <v>0</v>
      </c>
      <c r="H43" s="94">
        <f t="shared" si="13"/>
        <v>0</v>
      </c>
    </row>
    <row r="44" spans="1:8">
      <c r="A44" s="93" t="str">
        <f t="shared" si="5"/>
        <v>Jawar</v>
      </c>
      <c r="B44" s="94">
        <f t="shared" si="6"/>
        <v>0</v>
      </c>
      <c r="C44" s="94">
        <f t="shared" si="8"/>
        <v>0</v>
      </c>
      <c r="D44" s="94">
        <f t="shared" si="9"/>
        <v>0</v>
      </c>
      <c r="E44" s="94">
        <f t="shared" si="10"/>
        <v>0</v>
      </c>
      <c r="F44" s="94">
        <f t="shared" si="11"/>
        <v>0</v>
      </c>
      <c r="G44" s="94">
        <f t="shared" si="12"/>
        <v>0</v>
      </c>
      <c r="H44" s="94">
        <f t="shared" si="13"/>
        <v>0</v>
      </c>
    </row>
    <row r="45" spans="1:8">
      <c r="A45" s="93" t="str">
        <f t="shared" si="5"/>
        <v>Sunflower</v>
      </c>
      <c r="B45" s="94">
        <f t="shared" si="6"/>
        <v>0</v>
      </c>
      <c r="C45" s="94">
        <f t="shared" si="8"/>
        <v>0</v>
      </c>
      <c r="D45" s="94">
        <f t="shared" si="9"/>
        <v>0</v>
      </c>
      <c r="E45" s="94">
        <f t="shared" si="10"/>
        <v>0</v>
      </c>
      <c r="F45" s="94">
        <f t="shared" si="11"/>
        <v>0</v>
      </c>
      <c r="G45" s="94">
        <f t="shared" si="12"/>
        <v>0</v>
      </c>
      <c r="H45" s="94">
        <f t="shared" si="13"/>
        <v>0</v>
      </c>
    </row>
    <row r="46" spans="1:8">
      <c r="A46" s="93" t="str">
        <f t="shared" si="5"/>
        <v>Wheat</v>
      </c>
      <c r="B46" s="94">
        <f t="shared" si="6"/>
        <v>0</v>
      </c>
      <c r="C46" s="94">
        <f t="shared" si="8"/>
        <v>0</v>
      </c>
      <c r="D46" s="94">
        <f t="shared" si="9"/>
        <v>0</v>
      </c>
      <c r="E46" s="94">
        <f t="shared" si="10"/>
        <v>0</v>
      </c>
      <c r="F46" s="94">
        <f t="shared" si="11"/>
        <v>0</v>
      </c>
      <c r="G46" s="94">
        <f t="shared" si="12"/>
        <v>0</v>
      </c>
      <c r="H46" s="94">
        <f t="shared" si="13"/>
        <v>0</v>
      </c>
    </row>
    <row r="47" spans="1:8">
      <c r="A47" s="93" t="str">
        <f t="shared" si="5"/>
        <v>Bengal Gram/Channa</v>
      </c>
      <c r="B47" s="94">
        <f t="shared" si="6"/>
        <v>0</v>
      </c>
      <c r="C47" s="94">
        <f t="shared" si="8"/>
        <v>0</v>
      </c>
      <c r="D47" s="94">
        <f t="shared" si="9"/>
        <v>0</v>
      </c>
      <c r="E47" s="94">
        <f t="shared" si="10"/>
        <v>0</v>
      </c>
      <c r="F47" s="94">
        <f t="shared" si="11"/>
        <v>0</v>
      </c>
      <c r="G47" s="94">
        <f t="shared" si="12"/>
        <v>0</v>
      </c>
      <c r="H47" s="94">
        <f t="shared" si="13"/>
        <v>0</v>
      </c>
    </row>
    <row r="48" spans="1:8">
      <c r="A48" s="93" t="str">
        <f t="shared" si="5"/>
        <v>Jawar</v>
      </c>
      <c r="B48" s="94">
        <f t="shared" si="6"/>
        <v>0</v>
      </c>
      <c r="C48" s="94">
        <f t="shared" si="8"/>
        <v>0</v>
      </c>
      <c r="D48" s="94">
        <f t="shared" si="9"/>
        <v>0</v>
      </c>
      <c r="E48" s="94">
        <f t="shared" si="10"/>
        <v>0</v>
      </c>
      <c r="F48" s="94">
        <f t="shared" si="11"/>
        <v>0</v>
      </c>
      <c r="G48" s="94">
        <f t="shared" si="12"/>
        <v>0</v>
      </c>
      <c r="H48" s="94">
        <f t="shared" si="13"/>
        <v>0</v>
      </c>
    </row>
    <row r="49" spans="1:8">
      <c r="A49" s="93" t="str">
        <f t="shared" si="5"/>
        <v>Maize</v>
      </c>
      <c r="B49" s="94">
        <f t="shared" si="6"/>
        <v>0</v>
      </c>
      <c r="C49" s="94">
        <f t="shared" si="8"/>
        <v>0</v>
      </c>
      <c r="D49" s="94">
        <f t="shared" si="9"/>
        <v>0</v>
      </c>
      <c r="E49" s="94">
        <f t="shared" si="10"/>
        <v>0</v>
      </c>
      <c r="F49" s="94">
        <f t="shared" si="11"/>
        <v>0</v>
      </c>
      <c r="G49" s="94">
        <f t="shared" si="12"/>
        <v>0</v>
      </c>
      <c r="H49" s="94">
        <f t="shared" si="13"/>
        <v>0</v>
      </c>
    </row>
    <row r="50" spans="1:8">
      <c r="A50" s="93" t="str">
        <f t="shared" si="5"/>
        <v>Safflower</v>
      </c>
      <c r="B50" s="94">
        <f t="shared" si="6"/>
        <v>0</v>
      </c>
      <c r="C50" s="94">
        <f t="shared" si="8"/>
        <v>0</v>
      </c>
      <c r="D50" s="94">
        <f t="shared" si="9"/>
        <v>0</v>
      </c>
      <c r="E50" s="94">
        <f t="shared" si="10"/>
        <v>0</v>
      </c>
      <c r="F50" s="94">
        <f t="shared" si="11"/>
        <v>0</v>
      </c>
      <c r="G50" s="94">
        <f t="shared" si="12"/>
        <v>0</v>
      </c>
      <c r="H50" s="94">
        <f t="shared" si="13"/>
        <v>0</v>
      </c>
    </row>
    <row r="51" spans="1:8">
      <c r="A51" s="93">
        <f t="shared" si="5"/>
        <v>0</v>
      </c>
      <c r="B51" s="94">
        <f t="shared" si="6"/>
        <v>0</v>
      </c>
      <c r="C51" s="94">
        <f t="shared" si="8"/>
        <v>0</v>
      </c>
      <c r="D51" s="94">
        <f t="shared" si="9"/>
        <v>0</v>
      </c>
      <c r="E51" s="94">
        <f t="shared" si="10"/>
        <v>0</v>
      </c>
      <c r="F51" s="94">
        <f t="shared" si="11"/>
        <v>0</v>
      </c>
      <c r="G51" s="94">
        <f t="shared" si="12"/>
        <v>0</v>
      </c>
      <c r="H51" s="94">
        <f t="shared" si="13"/>
        <v>0</v>
      </c>
    </row>
    <row r="52" spans="1:8">
      <c r="A52" s="93">
        <f t="shared" si="5"/>
        <v>0</v>
      </c>
      <c r="B52" s="94">
        <f t="shared" si="6"/>
        <v>0</v>
      </c>
      <c r="C52" s="94">
        <f t="shared" si="8"/>
        <v>0</v>
      </c>
      <c r="D52" s="94">
        <f t="shared" si="9"/>
        <v>0</v>
      </c>
      <c r="E52" s="94">
        <f t="shared" si="10"/>
        <v>0</v>
      </c>
      <c r="F52" s="94">
        <f t="shared" si="11"/>
        <v>0</v>
      </c>
      <c r="G52" s="94">
        <f t="shared" si="12"/>
        <v>0</v>
      </c>
      <c r="H52" s="94">
        <f t="shared" si="13"/>
        <v>0</v>
      </c>
    </row>
    <row r="53" spans="1:8">
      <c r="A53" s="93">
        <f t="shared" si="5"/>
        <v>0</v>
      </c>
      <c r="B53" s="94">
        <f t="shared" si="6"/>
        <v>0</v>
      </c>
      <c r="C53" s="94">
        <f t="shared" si="8"/>
        <v>0</v>
      </c>
      <c r="D53" s="94">
        <f t="shared" si="9"/>
        <v>0</v>
      </c>
      <c r="E53" s="94">
        <f t="shared" si="10"/>
        <v>0</v>
      </c>
      <c r="F53" s="94">
        <f t="shared" si="11"/>
        <v>0</v>
      </c>
      <c r="G53" s="94">
        <f t="shared" si="12"/>
        <v>0</v>
      </c>
      <c r="H53" s="94">
        <f t="shared" si="13"/>
        <v>0</v>
      </c>
    </row>
    <row r="54" spans="1:8">
      <c r="A54" s="93" t="str">
        <f t="shared" si="5"/>
        <v>Groundnut</v>
      </c>
      <c r="B54" s="94">
        <f t="shared" si="6"/>
        <v>0</v>
      </c>
      <c r="C54" s="94">
        <f t="shared" si="8"/>
        <v>0</v>
      </c>
      <c r="D54" s="94">
        <f t="shared" si="9"/>
        <v>0</v>
      </c>
      <c r="E54" s="94">
        <f t="shared" si="10"/>
        <v>0</v>
      </c>
      <c r="F54" s="94">
        <f t="shared" si="11"/>
        <v>0</v>
      </c>
      <c r="G54" s="94">
        <f t="shared" si="12"/>
        <v>0</v>
      </c>
      <c r="H54" s="94">
        <f t="shared" si="13"/>
        <v>0</v>
      </c>
    </row>
    <row r="55" spans="1:8">
      <c r="A55" s="93">
        <f t="shared" si="5"/>
        <v>0</v>
      </c>
      <c r="B55" s="94">
        <f t="shared" si="6"/>
        <v>0</v>
      </c>
      <c r="C55" s="94">
        <f t="shared" si="8"/>
        <v>0</v>
      </c>
      <c r="D55" s="94">
        <f t="shared" si="9"/>
        <v>0</v>
      </c>
      <c r="E55" s="94">
        <f t="shared" si="10"/>
        <v>0</v>
      </c>
      <c r="F55" s="94">
        <f t="shared" si="11"/>
        <v>0</v>
      </c>
      <c r="G55" s="94">
        <f t="shared" si="12"/>
        <v>0</v>
      </c>
      <c r="H55" s="94">
        <f t="shared" si="13"/>
        <v>0</v>
      </c>
    </row>
    <row r="56" spans="1:8">
      <c r="A56" s="93"/>
      <c r="B56" s="93"/>
      <c r="C56" s="93"/>
      <c r="D56" s="93"/>
      <c r="E56" s="93"/>
      <c r="F56" s="93"/>
      <c r="G56" s="93"/>
      <c r="H56" s="93"/>
    </row>
    <row r="57" spans="1:8">
      <c r="A57" s="95" t="s">
        <v>286</v>
      </c>
      <c r="B57" s="93"/>
      <c r="C57" s="93"/>
      <c r="D57" s="93"/>
      <c r="E57" s="93"/>
      <c r="F57" s="93"/>
      <c r="G57" s="93"/>
      <c r="H57" s="93"/>
    </row>
    <row r="58" spans="1:8">
      <c r="A58" s="93" t="str">
        <f>A37</f>
        <v>Soybean</v>
      </c>
      <c r="B58" s="93"/>
      <c r="C58" s="93"/>
      <c r="D58" s="93"/>
      <c r="E58" s="93"/>
      <c r="F58" s="93"/>
      <c r="G58" s="93"/>
      <c r="H58" s="93"/>
    </row>
    <row r="59" spans="1:8">
      <c r="A59" s="93"/>
      <c r="B59" s="93"/>
      <c r="C59" s="93"/>
      <c r="D59" s="93"/>
      <c r="E59" s="93"/>
      <c r="F59" s="93"/>
      <c r="G59" s="93"/>
      <c r="H59" s="93"/>
    </row>
    <row r="60" spans="1:8">
      <c r="A60" s="93"/>
      <c r="B60" s="93"/>
      <c r="C60" s="93"/>
      <c r="D60" s="93"/>
      <c r="E60" s="93"/>
      <c r="F60" s="93"/>
      <c r="G60" s="93"/>
      <c r="H60" s="93"/>
    </row>
    <row r="61" spans="1:8">
      <c r="A61" s="93"/>
      <c r="B61" s="93"/>
      <c r="C61" s="93"/>
      <c r="D61" s="93"/>
      <c r="E61" s="93"/>
      <c r="F61" s="93"/>
      <c r="G61" s="93"/>
      <c r="H61" s="93"/>
    </row>
    <row r="62" spans="1:8">
      <c r="A62" s="93" t="str">
        <f>A38</f>
        <v>Red Gram/Tur</v>
      </c>
      <c r="B62" s="188"/>
      <c r="C62" s="188"/>
      <c r="D62" s="188"/>
      <c r="E62" s="188"/>
      <c r="F62" s="188"/>
      <c r="G62" s="188"/>
      <c r="H62" s="188"/>
    </row>
    <row r="63" spans="1:8">
      <c r="A63" s="93" t="s">
        <v>464</v>
      </c>
      <c r="B63" s="188">
        <f>B38*80%</f>
        <v>0</v>
      </c>
      <c r="C63" s="188">
        <f t="shared" ref="C63:H63" si="14">C38*80%</f>
        <v>0</v>
      </c>
      <c r="D63" s="188">
        <f t="shared" si="14"/>
        <v>0</v>
      </c>
      <c r="E63" s="188">
        <f t="shared" si="14"/>
        <v>0</v>
      </c>
      <c r="F63" s="188">
        <f t="shared" si="14"/>
        <v>0</v>
      </c>
      <c r="G63" s="188">
        <f t="shared" si="14"/>
        <v>0</v>
      </c>
      <c r="H63" s="188">
        <f t="shared" si="14"/>
        <v>0</v>
      </c>
    </row>
    <row r="64" spans="1:8">
      <c r="A64" s="93" t="s">
        <v>141</v>
      </c>
      <c r="B64" s="188">
        <f>B38*20%</f>
        <v>0</v>
      </c>
      <c r="C64" s="188">
        <f t="shared" ref="C64:H64" si="15">C38*20%</f>
        <v>0</v>
      </c>
      <c r="D64" s="188">
        <f t="shared" si="15"/>
        <v>0</v>
      </c>
      <c r="E64" s="188">
        <f t="shared" si="15"/>
        <v>0</v>
      </c>
      <c r="F64" s="188">
        <f t="shared" si="15"/>
        <v>0</v>
      </c>
      <c r="G64" s="188">
        <f t="shared" si="15"/>
        <v>0</v>
      </c>
      <c r="H64" s="188">
        <f t="shared" si="15"/>
        <v>0</v>
      </c>
    </row>
    <row r="65" spans="1:8">
      <c r="A65" s="93" t="str">
        <f>A39</f>
        <v>Paddy/Rice</v>
      </c>
      <c r="B65" s="94"/>
      <c r="C65" s="94"/>
      <c r="D65" s="94"/>
      <c r="E65" s="94"/>
      <c r="F65" s="94"/>
      <c r="G65" s="94"/>
      <c r="H65" s="94"/>
    </row>
    <row r="66" spans="1:8">
      <c r="A66" s="93"/>
      <c r="B66" s="94"/>
      <c r="C66" s="94"/>
      <c r="D66" s="94"/>
      <c r="E66" s="94"/>
      <c r="F66" s="94"/>
      <c r="G66" s="94"/>
      <c r="H66" s="94"/>
    </row>
    <row r="67" spans="1:8">
      <c r="A67" s="93"/>
      <c r="B67" s="94"/>
      <c r="C67" s="94"/>
      <c r="D67" s="94"/>
      <c r="E67" s="94"/>
      <c r="F67" s="94"/>
      <c r="G67" s="94"/>
      <c r="H67" s="94"/>
    </row>
    <row r="68" spans="1:8">
      <c r="A68" s="93"/>
      <c r="B68" s="94"/>
      <c r="C68" s="94"/>
      <c r="D68" s="94"/>
      <c r="E68" s="94"/>
      <c r="F68" s="94"/>
      <c r="G68" s="94"/>
      <c r="H68" s="94"/>
    </row>
    <row r="69" spans="1:8">
      <c r="A69" s="93" t="str">
        <f>A40</f>
        <v>Green Gram/ Moong</v>
      </c>
      <c r="B69" s="94"/>
      <c r="C69" s="94"/>
      <c r="D69" s="94"/>
      <c r="E69" s="94"/>
      <c r="F69" s="94"/>
      <c r="G69" s="94"/>
      <c r="H69" s="94"/>
    </row>
    <row r="70" spans="1:8">
      <c r="A70" s="93" t="s">
        <v>464</v>
      </c>
      <c r="B70" s="94">
        <f>B40*80%</f>
        <v>0</v>
      </c>
      <c r="C70" s="94">
        <f t="shared" ref="C70:H70" si="16">C40*80%</f>
        <v>0</v>
      </c>
      <c r="D70" s="94">
        <f t="shared" si="16"/>
        <v>0</v>
      </c>
      <c r="E70" s="94">
        <f t="shared" si="16"/>
        <v>0</v>
      </c>
      <c r="F70" s="94">
        <f t="shared" si="16"/>
        <v>0</v>
      </c>
      <c r="G70" s="94">
        <f t="shared" si="16"/>
        <v>0</v>
      </c>
      <c r="H70" s="94">
        <f t="shared" si="16"/>
        <v>0</v>
      </c>
    </row>
    <row r="71" spans="1:8">
      <c r="A71" s="93" t="s">
        <v>141</v>
      </c>
      <c r="B71" s="94">
        <f>B40*20%</f>
        <v>0</v>
      </c>
      <c r="C71" s="94">
        <f t="shared" ref="C71:H71" si="17">C40*20%</f>
        <v>0</v>
      </c>
      <c r="D71" s="94">
        <f t="shared" si="17"/>
        <v>0</v>
      </c>
      <c r="E71" s="94">
        <f t="shared" si="17"/>
        <v>0</v>
      </c>
      <c r="F71" s="94">
        <f t="shared" si="17"/>
        <v>0</v>
      </c>
      <c r="G71" s="94">
        <f t="shared" si="17"/>
        <v>0</v>
      </c>
      <c r="H71" s="94">
        <f t="shared" si="17"/>
        <v>0</v>
      </c>
    </row>
    <row r="72" spans="1:8">
      <c r="A72" s="93" t="str">
        <f>A41</f>
        <v>Maize</v>
      </c>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c r="B75" s="94"/>
      <c r="C75" s="94"/>
      <c r="D75" s="94"/>
      <c r="E75" s="94"/>
      <c r="F75" s="94"/>
      <c r="G75" s="94"/>
      <c r="H75" s="94"/>
    </row>
    <row r="76" spans="1:8">
      <c r="A76" s="93"/>
      <c r="B76" s="94"/>
      <c r="C76" s="94"/>
      <c r="D76" s="94"/>
      <c r="E76" s="94"/>
      <c r="F76" s="94"/>
      <c r="G76" s="94"/>
      <c r="H76" s="94"/>
    </row>
    <row r="77" spans="1:8">
      <c r="A77" s="93" t="str">
        <f>A42</f>
        <v>Black Gram/Udid</v>
      </c>
      <c r="B77" s="94"/>
      <c r="C77" s="94"/>
      <c r="D77" s="94"/>
      <c r="E77" s="94"/>
      <c r="F77" s="94"/>
      <c r="G77" s="94"/>
      <c r="H77" s="94"/>
    </row>
    <row r="78" spans="1:8">
      <c r="A78" s="93" t="s">
        <v>464</v>
      </c>
      <c r="B78" s="94">
        <f t="shared" ref="B78:H78" si="18">B42*80%</f>
        <v>0</v>
      </c>
      <c r="C78" s="94">
        <f t="shared" si="18"/>
        <v>0</v>
      </c>
      <c r="D78" s="94">
        <f t="shared" si="18"/>
        <v>0</v>
      </c>
      <c r="E78" s="94">
        <f t="shared" si="18"/>
        <v>0</v>
      </c>
      <c r="F78" s="94">
        <f t="shared" si="18"/>
        <v>0</v>
      </c>
      <c r="G78" s="94">
        <f t="shared" si="18"/>
        <v>0</v>
      </c>
      <c r="H78" s="94">
        <f t="shared" si="18"/>
        <v>0</v>
      </c>
    </row>
    <row r="79" spans="1:8">
      <c r="A79" s="93" t="s">
        <v>141</v>
      </c>
      <c r="B79" s="94">
        <f t="shared" ref="B79:H79" si="19">B42*20%</f>
        <v>0</v>
      </c>
      <c r="C79" s="94">
        <f t="shared" si="19"/>
        <v>0</v>
      </c>
      <c r="D79" s="94">
        <f t="shared" si="19"/>
        <v>0</v>
      </c>
      <c r="E79" s="94">
        <f t="shared" si="19"/>
        <v>0</v>
      </c>
      <c r="F79" s="94">
        <f t="shared" si="19"/>
        <v>0</v>
      </c>
      <c r="G79" s="94">
        <f t="shared" si="19"/>
        <v>0</v>
      </c>
      <c r="H79" s="94">
        <f t="shared" si="19"/>
        <v>0</v>
      </c>
    </row>
    <row r="80" spans="1:8">
      <c r="A80" s="93" t="str">
        <f>A43</f>
        <v>Bajra</v>
      </c>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A44</f>
        <v>Jawar</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t="str">
        <f>A45</f>
        <v>Sunflower</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t="str">
        <f>A46</f>
        <v>Wheat</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t="str">
        <f>A47</f>
        <v>Bengal Gram/Channa</v>
      </c>
      <c r="B94" s="94"/>
      <c r="C94" s="94"/>
      <c r="D94" s="94"/>
      <c r="E94" s="94"/>
      <c r="F94" s="94"/>
      <c r="G94" s="94"/>
      <c r="H94" s="94"/>
    </row>
    <row r="95" spans="1:8">
      <c r="A95" s="93" t="s">
        <v>464</v>
      </c>
      <c r="B95" s="94">
        <f t="shared" ref="B95:H95" si="20">B47*80%</f>
        <v>0</v>
      </c>
      <c r="C95" s="94">
        <f t="shared" si="20"/>
        <v>0</v>
      </c>
      <c r="D95" s="94">
        <f t="shared" si="20"/>
        <v>0</v>
      </c>
      <c r="E95" s="94">
        <f t="shared" si="20"/>
        <v>0</v>
      </c>
      <c r="F95" s="94">
        <f t="shared" si="20"/>
        <v>0</v>
      </c>
      <c r="G95" s="94">
        <f t="shared" si="20"/>
        <v>0</v>
      </c>
      <c r="H95" s="94">
        <f t="shared" si="20"/>
        <v>0</v>
      </c>
    </row>
    <row r="96" spans="1:8">
      <c r="A96" s="93" t="s">
        <v>141</v>
      </c>
      <c r="B96" s="94">
        <f t="shared" ref="B96:H96" si="21">B47*20%</f>
        <v>0</v>
      </c>
      <c r="C96" s="94">
        <f t="shared" si="21"/>
        <v>0</v>
      </c>
      <c r="D96" s="94">
        <f t="shared" si="21"/>
        <v>0</v>
      </c>
      <c r="E96" s="94">
        <f t="shared" si="21"/>
        <v>0</v>
      </c>
      <c r="F96" s="94">
        <f t="shared" si="21"/>
        <v>0</v>
      </c>
      <c r="G96" s="94">
        <f t="shared" si="21"/>
        <v>0</v>
      </c>
      <c r="H96" s="94">
        <f t="shared" si="21"/>
        <v>0</v>
      </c>
    </row>
    <row r="97" spans="1:8">
      <c r="A97" s="93" t="str">
        <f>A48</f>
        <v>Jawar</v>
      </c>
      <c r="B97" s="94"/>
      <c r="C97" s="94"/>
      <c r="D97" s="94"/>
      <c r="E97" s="94"/>
      <c r="F97" s="94"/>
      <c r="G97" s="94"/>
      <c r="H97" s="94"/>
    </row>
    <row r="98" spans="1:8">
      <c r="A98" s="93"/>
      <c r="B98" s="94"/>
      <c r="C98" s="94"/>
      <c r="D98" s="94"/>
      <c r="E98" s="94"/>
      <c r="F98" s="94"/>
      <c r="G98" s="94"/>
      <c r="H98" s="94"/>
    </row>
    <row r="99" spans="1:8">
      <c r="A99" s="93"/>
      <c r="B99" s="94"/>
      <c r="C99" s="94"/>
      <c r="D99" s="94"/>
      <c r="E99" s="94"/>
      <c r="F99" s="94"/>
      <c r="G99" s="94"/>
      <c r="H99" s="94"/>
    </row>
    <row r="100" spans="1:8">
      <c r="A100" s="93" t="str">
        <f>A49</f>
        <v>Maize</v>
      </c>
      <c r="B100" s="94"/>
      <c r="C100" s="94"/>
      <c r="D100" s="94"/>
      <c r="E100" s="94"/>
      <c r="F100" s="94"/>
      <c r="G100" s="94"/>
      <c r="H100" s="94"/>
    </row>
    <row r="101" spans="1:8">
      <c r="A101" s="93"/>
      <c r="B101" s="94"/>
      <c r="C101" s="94"/>
      <c r="D101" s="94"/>
      <c r="E101" s="94"/>
      <c r="F101" s="94"/>
      <c r="G101" s="94"/>
      <c r="H101" s="94"/>
    </row>
    <row r="102" spans="1:8">
      <c r="A102" s="93"/>
      <c r="B102" s="94"/>
      <c r="C102" s="94"/>
      <c r="D102" s="94"/>
      <c r="E102" s="94"/>
      <c r="F102" s="94"/>
      <c r="G102" s="94"/>
      <c r="H102" s="94"/>
    </row>
    <row r="103" spans="1:8">
      <c r="A103" s="93" t="str">
        <f>A50</f>
        <v>Safflower</v>
      </c>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f>A51</f>
        <v>0</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f>A52</f>
        <v>0</v>
      </c>
      <c r="B109" s="94"/>
      <c r="C109" s="94"/>
      <c r="D109" s="94"/>
      <c r="E109" s="94"/>
      <c r="F109" s="94"/>
      <c r="G109" s="94"/>
      <c r="H109" s="94"/>
    </row>
    <row r="110" spans="1:8">
      <c r="A110" s="93"/>
      <c r="B110" s="94"/>
      <c r="C110" s="94"/>
      <c r="D110" s="94"/>
      <c r="E110" s="94"/>
      <c r="F110" s="94"/>
      <c r="G110" s="94"/>
      <c r="H110" s="94"/>
    </row>
    <row r="111" spans="1:8">
      <c r="A111" s="93"/>
      <c r="B111" s="94"/>
      <c r="C111" s="94"/>
      <c r="D111" s="94"/>
      <c r="E111" s="94"/>
      <c r="F111" s="94"/>
      <c r="G111" s="94"/>
      <c r="H111" s="94"/>
    </row>
    <row r="112" spans="1:8">
      <c r="A112" s="93">
        <f>A53</f>
        <v>0</v>
      </c>
      <c r="B112" s="94"/>
      <c r="C112" s="94"/>
      <c r="D112" s="94"/>
      <c r="E112" s="94"/>
      <c r="F112" s="94"/>
      <c r="G112" s="94"/>
      <c r="H112" s="94"/>
    </row>
    <row r="113" spans="1:8">
      <c r="A113" s="93"/>
      <c r="B113" s="94"/>
      <c r="C113" s="94"/>
      <c r="D113" s="94"/>
      <c r="E113" s="94"/>
      <c r="F113" s="94"/>
      <c r="G113" s="94"/>
      <c r="H113" s="94"/>
    </row>
    <row r="114" spans="1:8">
      <c r="A114" s="93"/>
      <c r="B114" s="94"/>
      <c r="C114" s="94"/>
      <c r="D114" s="94"/>
      <c r="E114" s="94"/>
      <c r="F114" s="94"/>
      <c r="G114" s="94"/>
      <c r="H114" s="94"/>
    </row>
    <row r="115" spans="1:8">
      <c r="A115" s="93" t="str">
        <f>A54</f>
        <v>Groundnut</v>
      </c>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3">
        <f>A55</f>
        <v>0</v>
      </c>
      <c r="B118" s="94"/>
      <c r="C118" s="94"/>
      <c r="D118" s="94"/>
      <c r="E118" s="94"/>
      <c r="F118" s="94"/>
      <c r="G118" s="94"/>
      <c r="H118" s="94"/>
    </row>
    <row r="119" spans="1:8">
      <c r="A119" s="93"/>
      <c r="B119" s="94"/>
      <c r="C119" s="94"/>
      <c r="D119" s="94"/>
      <c r="E119" s="94"/>
      <c r="F119" s="94"/>
      <c r="G119" s="94"/>
      <c r="H119" s="94"/>
    </row>
    <row r="120" spans="1:8">
      <c r="A120" s="93"/>
      <c r="B120" s="94"/>
      <c r="C120" s="94"/>
      <c r="D120" s="94"/>
      <c r="E120" s="94"/>
      <c r="F120" s="94"/>
      <c r="G120" s="94"/>
      <c r="H120" s="94"/>
    </row>
    <row r="121" spans="1:8">
      <c r="A121" s="93">
        <f>A56</f>
        <v>0</v>
      </c>
      <c r="B121" s="94"/>
      <c r="C121" s="94"/>
      <c r="D121" s="94"/>
      <c r="E121" s="94"/>
      <c r="F121" s="94"/>
      <c r="G121" s="94"/>
      <c r="H121" s="94"/>
    </row>
    <row r="122" spans="1:8">
      <c r="A122" s="183"/>
      <c r="B122" s="306"/>
      <c r="C122" s="306"/>
      <c r="D122" s="306"/>
      <c r="E122" s="306"/>
      <c r="F122" s="306"/>
      <c r="G122" s="306"/>
      <c r="H122" s="306"/>
    </row>
    <row r="123" spans="1:8">
      <c r="A123" s="183"/>
      <c r="B123" s="306"/>
      <c r="C123" s="306"/>
      <c r="D123" s="306"/>
      <c r="E123" s="306"/>
      <c r="F123" s="306"/>
      <c r="G123" s="306"/>
      <c r="H123" s="306"/>
    </row>
    <row r="124" spans="1:8">
      <c r="A124" s="184" t="s">
        <v>452</v>
      </c>
      <c r="B124">
        <v>50</v>
      </c>
    </row>
    <row r="131" spans="1:10" ht="17.399999999999999">
      <c r="A131" s="428" t="s">
        <v>591</v>
      </c>
      <c r="B131" s="428"/>
      <c r="C131" s="428"/>
      <c r="D131" s="428"/>
      <c r="E131" s="428"/>
      <c r="F131" s="428"/>
      <c r="G131" s="428"/>
      <c r="H131" s="428"/>
      <c r="I131" s="428"/>
      <c r="J131" s="428"/>
    </row>
    <row r="132" spans="1:10">
      <c r="A132" s="58"/>
      <c r="B132" s="60"/>
      <c r="C132" s="60"/>
      <c r="D132" s="58"/>
      <c r="E132" s="58"/>
      <c r="F132" s="58"/>
      <c r="G132" s="58"/>
      <c r="H132" s="58"/>
    </row>
    <row r="133" spans="1:10">
      <c r="A133" s="189"/>
      <c r="B133" s="189"/>
      <c r="C133" s="189"/>
      <c r="D133" s="190">
        <v>1</v>
      </c>
      <c r="E133" s="191">
        <f>(D133*5%)+D133</f>
        <v>1.05</v>
      </c>
      <c r="F133" s="191">
        <f t="shared" ref="F133:J133" si="22">(E133*5%)+E133</f>
        <v>1.1025</v>
      </c>
      <c r="G133" s="191">
        <f t="shared" si="22"/>
        <v>1.1576250000000001</v>
      </c>
      <c r="H133" s="191">
        <f t="shared" si="22"/>
        <v>1.2155062500000002</v>
      </c>
      <c r="I133" s="191">
        <f t="shared" si="22"/>
        <v>1.2762815625000004</v>
      </c>
      <c r="J133" s="191">
        <f t="shared" si="22"/>
        <v>1.3400956406250004</v>
      </c>
    </row>
    <row r="134" spans="1:10">
      <c r="A134" s="92"/>
      <c r="B134" s="92"/>
      <c r="C134" s="92"/>
      <c r="D134" s="92"/>
      <c r="E134" s="92"/>
      <c r="F134" s="92"/>
      <c r="G134" s="92"/>
      <c r="H134" s="92"/>
      <c r="I134" s="92"/>
      <c r="J134" s="92"/>
    </row>
    <row r="135" spans="1:10">
      <c r="A135" s="146" t="s">
        <v>0</v>
      </c>
      <c r="B135" s="146" t="s">
        <v>132</v>
      </c>
      <c r="C135" s="146" t="s">
        <v>153</v>
      </c>
      <c r="D135" s="118" t="s">
        <v>2</v>
      </c>
      <c r="E135" s="118" t="s">
        <v>3</v>
      </c>
      <c r="F135" s="118" t="s">
        <v>4</v>
      </c>
      <c r="G135" s="118" t="s">
        <v>5</v>
      </c>
      <c r="H135" s="118" t="s">
        <v>6</v>
      </c>
      <c r="I135" s="118" t="s">
        <v>170</v>
      </c>
      <c r="J135" s="118" t="s">
        <v>169</v>
      </c>
    </row>
    <row r="136" spans="1:10">
      <c r="A136" s="93"/>
      <c r="B136" s="93"/>
      <c r="C136" s="93"/>
      <c r="D136" s="93"/>
      <c r="E136" s="93"/>
      <c r="F136" s="93"/>
      <c r="G136" s="93"/>
      <c r="H136" s="93"/>
      <c r="I136" s="93"/>
      <c r="J136" s="93"/>
    </row>
    <row r="137" spans="1:10">
      <c r="A137" s="95" t="s">
        <v>126</v>
      </c>
      <c r="B137" s="95"/>
      <c r="C137" s="95"/>
      <c r="D137" s="112"/>
      <c r="E137" s="112"/>
      <c r="F137" s="112"/>
      <c r="G137" s="112"/>
      <c r="H137" s="112"/>
      <c r="I137" s="93"/>
      <c r="J137" s="93"/>
    </row>
    <row r="138" spans="1:10">
      <c r="A138" s="95" t="s">
        <v>319</v>
      </c>
      <c r="B138" s="95"/>
      <c r="C138" s="95"/>
      <c r="D138" s="93"/>
      <c r="E138" s="93"/>
      <c r="F138" s="93"/>
      <c r="G138" s="93"/>
      <c r="H138" s="93"/>
      <c r="I138" s="93"/>
      <c r="J138" s="93"/>
    </row>
    <row r="139" spans="1:10">
      <c r="A139" s="93" t="s">
        <v>164</v>
      </c>
      <c r="B139" s="230" t="s">
        <v>362</v>
      </c>
      <c r="C139" s="230">
        <f>70*50</f>
        <v>3500</v>
      </c>
      <c r="D139" s="94">
        <f>(((B95*100)*(1-'5.Closing Stock &amp; W Capital'!$D$17))/$B$124)*$C$139*D133</f>
        <v>0</v>
      </c>
      <c r="E139" s="94">
        <f>E133*((((C95*100)*(1-'5.Closing Stock &amp; W Capital'!$D$17))+((B95*100)*'5.Closing Stock &amp; W Capital'!$D$17))/$B$124)*$C$139</f>
        <v>0</v>
      </c>
      <c r="F139" s="94">
        <f>F133*((((D95*100)*(1-'5.Closing Stock &amp; W Capital'!$D$17))+((C95*100)*'5.Closing Stock &amp; W Capital'!$D$17))/$B$124)*$C$139</f>
        <v>0</v>
      </c>
      <c r="G139" s="94">
        <f>G133*((((E95*100)*(1-'5.Closing Stock &amp; W Capital'!$D$17))+((D95*100)*'5.Closing Stock &amp; W Capital'!$D$17))/$B$124)*$C$139</f>
        <v>0</v>
      </c>
      <c r="H139" s="94">
        <f>H133*((((F95*100)*(1-'5.Closing Stock &amp; W Capital'!$D$17))+((E95*100)*'5.Closing Stock &amp; W Capital'!$D$17))/$B$124)*$C$139</f>
        <v>0</v>
      </c>
      <c r="I139" s="94">
        <f>I133*((((G95*100)*(1-'5.Closing Stock &amp; W Capital'!$D$17))+((F95*100)*'5.Closing Stock &amp; W Capital'!$D$17))/$B$124)*$C$139</f>
        <v>0</v>
      </c>
      <c r="J139" s="94">
        <f>J133*((((H95*100)*(1-'5.Closing Stock &amp; W Capital'!$D$17))+((G95*100)*'5.Closing Stock &amp; W Capital'!$D$17))/$B$124)*$C$139</f>
        <v>0</v>
      </c>
    </row>
    <row r="140" spans="1:10">
      <c r="A140" s="93" t="s">
        <v>165</v>
      </c>
      <c r="B140" s="230" t="s">
        <v>362</v>
      </c>
      <c r="C140" s="230">
        <f>75*50</f>
        <v>3750</v>
      </c>
      <c r="D140" s="94">
        <f>(((B63*100)*(1-'5.Closing Stock &amp; W Capital'!$D$17))/B124)*$C$140*D133</f>
        <v>0</v>
      </c>
      <c r="E140" s="94">
        <f>((((C63*100)*(1-'5.Closing Stock &amp; W Capital'!$D$17))+((B63*100)*'5.Closing Stock &amp; W Capital'!$D$17))/$B$124)*$C$140*E133</f>
        <v>0</v>
      </c>
      <c r="F140" s="94">
        <f>((((D63*100)*(1-'5.Closing Stock &amp; W Capital'!$D$17))+((C63*100)*'5.Closing Stock &amp; W Capital'!$D$17))/$B$124)*$C$140*F133</f>
        <v>0</v>
      </c>
      <c r="G140" s="94">
        <f>((((E63*100)*(1-'5.Closing Stock &amp; W Capital'!$D$17))+((D63*100)*'5.Closing Stock &amp; W Capital'!$D$17))/$B$124)*$C$140*G133</f>
        <v>0</v>
      </c>
      <c r="H140" s="94">
        <f>((((F63*100)*(1-'5.Closing Stock &amp; W Capital'!$D$17))+((E63*100)*'5.Closing Stock &amp; W Capital'!$D$17))/$B$124)*$C$140*H133</f>
        <v>0</v>
      </c>
      <c r="I140" s="94">
        <f>((((G63*100)*(1-'5.Closing Stock &amp; W Capital'!$D$17))+((F63*100)*'5.Closing Stock &amp; W Capital'!$D$17))/$B$124)*$C$140*I133</f>
        <v>0</v>
      </c>
      <c r="J140" s="94">
        <f>((((H63*100)*(1-'5.Closing Stock &amp; W Capital'!$D$17))+((G63*100)*'5.Closing Stock &amp; W Capital'!$D$17))/$B$124)*$C$140*J133</f>
        <v>0</v>
      </c>
    </row>
    <row r="141" spans="1:10">
      <c r="A141" s="93" t="s">
        <v>320</v>
      </c>
      <c r="B141" s="230" t="s">
        <v>362</v>
      </c>
      <c r="C141" s="230">
        <f>80*50</f>
        <v>4000</v>
      </c>
      <c r="D141" s="94">
        <f>(((B78*100)*(1-'5.Closing Stock &amp; W Capital'!D17))/$B$124)*$C$141*D133</f>
        <v>0</v>
      </c>
      <c r="E141" s="94">
        <f>((((C78*100)*(1-'5.Closing Stock &amp; W Capital'!$D$17))+((B78*100)*'5.Closing Stock &amp; W Capital'!$D$17))/$B$124)*$C$141*E133</f>
        <v>0</v>
      </c>
      <c r="F141" s="94">
        <f>((((D78*100)*(1-'5.Closing Stock &amp; W Capital'!$D$17))+((C78*100)*'5.Closing Stock &amp; W Capital'!$D$17))/$B$124)*$C$141*F133</f>
        <v>0</v>
      </c>
      <c r="G141" s="94">
        <f>((((E78*100)*(1-'5.Closing Stock &amp; W Capital'!$D$17))+((D78*100)*'5.Closing Stock &amp; W Capital'!$D$17))/$B$124)*$C$141*G133</f>
        <v>0</v>
      </c>
      <c r="H141" s="94">
        <f>((((F78*100)*(1-'5.Closing Stock &amp; W Capital'!$D$17))+((E78*100)*'5.Closing Stock &amp; W Capital'!$D$17))/$B$124)*$C$141*H133</f>
        <v>0</v>
      </c>
      <c r="I141" s="94">
        <f>((((G78*100)*(1-'5.Closing Stock &amp; W Capital'!$D$17))+((F78*100)*'5.Closing Stock &amp; W Capital'!$D$17))/$B$124)*$C$141*I133</f>
        <v>0</v>
      </c>
      <c r="J141" s="94">
        <f>((((H78*100)*(1-'5.Closing Stock &amp; W Capital'!$D$17))+((G78*100)*'5.Closing Stock &amp; W Capital'!$D$17))/$B$124)*$C$141*J133</f>
        <v>0</v>
      </c>
    </row>
    <row r="142" spans="1:10">
      <c r="A142" s="93" t="s">
        <v>318</v>
      </c>
      <c r="B142" s="230" t="s">
        <v>362</v>
      </c>
      <c r="C142" s="230">
        <f>80*50</f>
        <v>4000</v>
      </c>
      <c r="D142" s="94">
        <f>(((B70*100)*(1-'5.Closing Stock &amp; W Capital'!D17))/B124)*$C$142*D133</f>
        <v>0</v>
      </c>
      <c r="E142" s="94">
        <f>((((C70*100)*(1-'5.Closing Stock &amp; W Capital'!$D$17))+((B70*100)*'5.Closing Stock &amp; W Capital'!$D$17))/$B$124)*$C$142*E133</f>
        <v>0</v>
      </c>
      <c r="F142" s="94">
        <f>((((D70*100)*(1-'5.Closing Stock &amp; W Capital'!$D$17))+((C70*100)*'5.Closing Stock &amp; W Capital'!$D$17))/$B$124)*$C$142*F133</f>
        <v>0</v>
      </c>
      <c r="G142" s="94">
        <f>((((E70*100)*(1-'5.Closing Stock &amp; W Capital'!$D$17))+((D70*100)*'5.Closing Stock &amp; W Capital'!$D$17))/$B$124)*$C$142*G133</f>
        <v>0</v>
      </c>
      <c r="H142" s="94">
        <f>((((F70*100)*(1-'5.Closing Stock &amp; W Capital'!$D$17))+((E70*100)*'5.Closing Stock &amp; W Capital'!$D$17))/$B$124)*$C$142*H133</f>
        <v>0</v>
      </c>
      <c r="I142" s="94">
        <f>((((G70*100)*(1-'5.Closing Stock &amp; W Capital'!$D$17))+((F70*100)*'5.Closing Stock &amp; W Capital'!$D$17))/$B$124)*$C$142*I133</f>
        <v>0</v>
      </c>
      <c r="J142" s="94">
        <f>((((H70*100)*(1-'5.Closing Stock &amp; W Capital'!$D$17))+((G70*100)*'5.Closing Stock &amp; W Capital'!$D$17))/$B$124)*$C$142*J133</f>
        <v>0</v>
      </c>
    </row>
    <row r="143" spans="1:10">
      <c r="A143" s="93"/>
      <c r="B143" s="93"/>
      <c r="C143" s="93"/>
      <c r="D143" s="94"/>
      <c r="E143" s="94"/>
      <c r="F143" s="94"/>
      <c r="G143" s="94"/>
      <c r="H143" s="94"/>
      <c r="I143" s="94"/>
      <c r="J143" s="94"/>
    </row>
    <row r="144" spans="1:10">
      <c r="A144" s="95" t="s">
        <v>141</v>
      </c>
      <c r="B144" s="235" t="s">
        <v>363</v>
      </c>
      <c r="C144" s="235">
        <v>10</v>
      </c>
      <c r="D144" s="94">
        <f t="shared" ref="D144:J144" si="23">((B63+B95+B78+B70)*100)*$C$144*D133</f>
        <v>0</v>
      </c>
      <c r="E144" s="94">
        <f t="shared" si="23"/>
        <v>0</v>
      </c>
      <c r="F144" s="94">
        <f t="shared" si="23"/>
        <v>0</v>
      </c>
      <c r="G144" s="94">
        <f t="shared" si="23"/>
        <v>0</v>
      </c>
      <c r="H144" s="94">
        <f t="shared" si="23"/>
        <v>0</v>
      </c>
      <c r="I144" s="94">
        <f t="shared" si="23"/>
        <v>0</v>
      </c>
      <c r="J144" s="94">
        <f t="shared" si="23"/>
        <v>0</v>
      </c>
    </row>
    <row r="145" spans="1:11">
      <c r="A145" s="93"/>
      <c r="B145" s="230"/>
      <c r="C145" s="230"/>
      <c r="D145" s="94"/>
      <c r="E145" s="94"/>
      <c r="F145" s="94"/>
      <c r="G145" s="94"/>
      <c r="H145" s="94"/>
      <c r="I145" s="94"/>
      <c r="J145" s="94"/>
      <c r="K145" s="61">
        <f>[2]Output!T58*70*K133</f>
        <v>0</v>
      </c>
    </row>
    <row r="146" spans="1:11">
      <c r="A146" s="95" t="s">
        <v>295</v>
      </c>
      <c r="B146" s="235" t="s">
        <v>363</v>
      </c>
      <c r="C146" s="230">
        <v>6</v>
      </c>
      <c r="D146" s="94">
        <f t="shared" ref="D146:J146" si="24">(B35*100)*$C$146*D133</f>
        <v>0</v>
      </c>
      <c r="E146" s="94">
        <f t="shared" si="24"/>
        <v>0</v>
      </c>
      <c r="F146" s="94">
        <f t="shared" si="24"/>
        <v>0</v>
      </c>
      <c r="G146" s="94">
        <f t="shared" si="24"/>
        <v>0</v>
      </c>
      <c r="H146" s="94">
        <f t="shared" si="24"/>
        <v>0</v>
      </c>
      <c r="I146" s="94">
        <f t="shared" si="24"/>
        <v>0</v>
      </c>
      <c r="J146" s="94">
        <f t="shared" si="24"/>
        <v>0</v>
      </c>
    </row>
    <row r="147" spans="1:11">
      <c r="A147" s="93"/>
      <c r="B147" s="93"/>
      <c r="C147" s="93"/>
      <c r="D147" s="94"/>
      <c r="E147" s="94"/>
      <c r="F147" s="94"/>
      <c r="G147" s="94"/>
      <c r="H147" s="94"/>
      <c r="I147" s="94"/>
      <c r="J147" s="94"/>
    </row>
    <row r="148" spans="1:11">
      <c r="A148" s="95" t="s">
        <v>126</v>
      </c>
      <c r="B148" s="95"/>
      <c r="C148" s="95"/>
      <c r="D148" s="113">
        <f>SUM(D139:D146)</f>
        <v>0</v>
      </c>
      <c r="E148" s="113">
        <f t="shared" ref="E148:J148" si="25">SUM(E139:E146)</f>
        <v>0</v>
      </c>
      <c r="F148" s="113">
        <f t="shared" si="25"/>
        <v>0</v>
      </c>
      <c r="G148" s="113">
        <f t="shared" si="25"/>
        <v>0</v>
      </c>
      <c r="H148" s="113">
        <f t="shared" si="25"/>
        <v>0</v>
      </c>
      <c r="I148" s="113">
        <f t="shared" si="25"/>
        <v>0</v>
      </c>
      <c r="J148" s="113">
        <f t="shared" si="25"/>
        <v>0</v>
      </c>
    </row>
    <row r="149" spans="1:11">
      <c r="A149" s="93"/>
      <c r="B149" s="93"/>
      <c r="C149" s="93"/>
      <c r="D149" s="94"/>
      <c r="E149" s="94"/>
      <c r="F149" s="94"/>
      <c r="G149" s="94"/>
      <c r="H149" s="94"/>
      <c r="I149" s="94"/>
      <c r="J149" s="94"/>
    </row>
    <row r="150" spans="1:11">
      <c r="A150" s="95" t="s">
        <v>142</v>
      </c>
      <c r="B150" s="95"/>
      <c r="C150" s="95"/>
      <c r="D150" s="94"/>
      <c r="E150" s="94"/>
      <c r="F150" s="94"/>
      <c r="G150" s="94"/>
      <c r="H150" s="94"/>
      <c r="I150" s="94"/>
      <c r="J150" s="94"/>
    </row>
    <row r="151" spans="1:11">
      <c r="A151" s="95" t="s">
        <v>313</v>
      </c>
      <c r="B151" s="95"/>
      <c r="C151" s="93"/>
      <c r="D151" s="94"/>
      <c r="E151" s="94"/>
      <c r="F151" s="94"/>
      <c r="G151" s="94"/>
      <c r="H151" s="94"/>
      <c r="I151" s="94"/>
      <c r="J151" s="94"/>
    </row>
    <row r="152" spans="1:11">
      <c r="A152" s="97" t="s">
        <v>164</v>
      </c>
      <c r="B152" s="230" t="s">
        <v>364</v>
      </c>
      <c r="C152" s="254">
        <v>4800</v>
      </c>
      <c r="D152" s="94">
        <f t="shared" ref="D152:J152" si="26">(B47)*$C$152*D133</f>
        <v>0</v>
      </c>
      <c r="E152" s="94">
        <f t="shared" si="26"/>
        <v>0</v>
      </c>
      <c r="F152" s="94">
        <f t="shared" si="26"/>
        <v>0</v>
      </c>
      <c r="G152" s="94">
        <f t="shared" si="26"/>
        <v>0</v>
      </c>
      <c r="H152" s="94">
        <f t="shared" si="26"/>
        <v>0</v>
      </c>
      <c r="I152" s="94">
        <f t="shared" si="26"/>
        <v>0</v>
      </c>
      <c r="J152" s="94">
        <f t="shared" si="26"/>
        <v>0</v>
      </c>
    </row>
    <row r="153" spans="1:11">
      <c r="A153" s="93" t="s">
        <v>321</v>
      </c>
      <c r="B153" s="230" t="s">
        <v>364</v>
      </c>
      <c r="C153" s="254">
        <v>5800</v>
      </c>
      <c r="D153" s="94">
        <f t="shared" ref="D153:J153" si="27">(B38)*$C$153*D133</f>
        <v>0</v>
      </c>
      <c r="E153" s="94">
        <f t="shared" si="27"/>
        <v>0</v>
      </c>
      <c r="F153" s="94">
        <f t="shared" si="27"/>
        <v>0</v>
      </c>
      <c r="G153" s="94">
        <f t="shared" si="27"/>
        <v>0</v>
      </c>
      <c r="H153" s="94">
        <f t="shared" si="27"/>
        <v>0</v>
      </c>
      <c r="I153" s="94">
        <f t="shared" si="27"/>
        <v>0</v>
      </c>
      <c r="J153" s="94">
        <f t="shared" si="27"/>
        <v>0</v>
      </c>
    </row>
    <row r="154" spans="1:11">
      <c r="A154" s="93" t="s">
        <v>322</v>
      </c>
      <c r="B154" s="230" t="s">
        <v>364</v>
      </c>
      <c r="C154" s="254">
        <v>5800</v>
      </c>
      <c r="D154" s="94">
        <f t="shared" ref="D154:J154" si="28">(B42)*$C$154*D133</f>
        <v>0</v>
      </c>
      <c r="E154" s="94">
        <f t="shared" si="28"/>
        <v>0</v>
      </c>
      <c r="F154" s="94">
        <f t="shared" si="28"/>
        <v>0</v>
      </c>
      <c r="G154" s="94">
        <f t="shared" si="28"/>
        <v>0</v>
      </c>
      <c r="H154" s="94">
        <f t="shared" si="28"/>
        <v>0</v>
      </c>
      <c r="I154" s="94">
        <f t="shared" si="28"/>
        <v>0</v>
      </c>
      <c r="J154" s="94">
        <f t="shared" si="28"/>
        <v>0</v>
      </c>
    </row>
    <row r="155" spans="1:11">
      <c r="A155" s="93" t="s">
        <v>318</v>
      </c>
      <c r="B155" s="230" t="s">
        <v>364</v>
      </c>
      <c r="C155" s="254">
        <v>6200</v>
      </c>
      <c r="D155" s="94">
        <f t="shared" ref="D155:J155" si="29">(B40)*$C$155*D133</f>
        <v>0</v>
      </c>
      <c r="E155" s="94">
        <f t="shared" si="29"/>
        <v>0</v>
      </c>
      <c r="F155" s="94">
        <f t="shared" si="29"/>
        <v>0</v>
      </c>
      <c r="G155" s="94">
        <f t="shared" si="29"/>
        <v>0</v>
      </c>
      <c r="H155" s="94">
        <f t="shared" si="29"/>
        <v>0</v>
      </c>
      <c r="I155" s="94">
        <f t="shared" si="29"/>
        <v>0</v>
      </c>
      <c r="J155" s="94">
        <f t="shared" si="29"/>
        <v>0</v>
      </c>
    </row>
    <row r="156" spans="1:11">
      <c r="A156" s="93" t="s">
        <v>365</v>
      </c>
      <c r="B156" s="230">
        <v>2</v>
      </c>
      <c r="C156" s="230">
        <v>100</v>
      </c>
      <c r="D156" s="94">
        <f t="shared" ref="D156:J156" si="30">(B32/10)*$B$156*$C$156*D133</f>
        <v>0</v>
      </c>
      <c r="E156" s="94">
        <f t="shared" si="30"/>
        <v>0</v>
      </c>
      <c r="F156" s="94">
        <f t="shared" si="30"/>
        <v>0</v>
      </c>
      <c r="G156" s="94">
        <f t="shared" si="30"/>
        <v>0</v>
      </c>
      <c r="H156" s="94">
        <f t="shared" si="30"/>
        <v>0</v>
      </c>
      <c r="I156" s="94">
        <f t="shared" si="30"/>
        <v>0</v>
      </c>
      <c r="J156" s="94">
        <f t="shared" si="30"/>
        <v>0</v>
      </c>
    </row>
    <row r="157" spans="1:11">
      <c r="A157" s="93" t="s">
        <v>323</v>
      </c>
      <c r="B157" s="230">
        <v>3</v>
      </c>
      <c r="C157" s="230">
        <v>300</v>
      </c>
      <c r="D157" s="94">
        <f t="shared" ref="D157:J157" si="31">B12*$B$157*$C$157*D133</f>
        <v>0</v>
      </c>
      <c r="E157" s="94">
        <f t="shared" si="31"/>
        <v>0</v>
      </c>
      <c r="F157" s="94">
        <f t="shared" si="31"/>
        <v>0</v>
      </c>
      <c r="G157" s="94">
        <f t="shared" si="31"/>
        <v>0</v>
      </c>
      <c r="H157" s="94">
        <f t="shared" si="31"/>
        <v>0</v>
      </c>
      <c r="I157" s="94">
        <f t="shared" si="31"/>
        <v>0</v>
      </c>
      <c r="J157" s="94">
        <f t="shared" si="31"/>
        <v>0</v>
      </c>
    </row>
    <row r="158" spans="1:11">
      <c r="A158" s="93" t="s">
        <v>144</v>
      </c>
      <c r="B158" s="93">
        <f>'2.Capex Details'!H47*0.746*8</f>
        <v>0</v>
      </c>
      <c r="C158" s="230">
        <v>8</v>
      </c>
      <c r="D158" s="94">
        <f t="shared" ref="D158:J158" si="32">$B$158*$C$158*B12*D133</f>
        <v>0</v>
      </c>
      <c r="E158" s="94">
        <f t="shared" si="32"/>
        <v>0</v>
      </c>
      <c r="F158" s="94">
        <f t="shared" si="32"/>
        <v>0</v>
      </c>
      <c r="G158" s="94">
        <f t="shared" si="32"/>
        <v>0</v>
      </c>
      <c r="H158" s="94">
        <f t="shared" si="32"/>
        <v>0</v>
      </c>
      <c r="I158" s="94">
        <f t="shared" si="32"/>
        <v>0</v>
      </c>
      <c r="J158" s="94">
        <f t="shared" si="32"/>
        <v>0</v>
      </c>
    </row>
    <row r="159" spans="1:11">
      <c r="A159" s="93" t="s">
        <v>296</v>
      </c>
      <c r="B159" s="93"/>
      <c r="C159" s="230">
        <v>10</v>
      </c>
      <c r="D159" s="94">
        <f t="shared" ref="D159:J159" si="33">((B35*100)/50)*$C$159*D133</f>
        <v>0</v>
      </c>
      <c r="E159" s="94">
        <f t="shared" si="33"/>
        <v>0</v>
      </c>
      <c r="F159" s="94">
        <f t="shared" si="33"/>
        <v>0</v>
      </c>
      <c r="G159" s="94">
        <f t="shared" si="33"/>
        <v>0</v>
      </c>
      <c r="H159" s="94">
        <f t="shared" si="33"/>
        <v>0</v>
      </c>
      <c r="I159" s="94">
        <f t="shared" si="33"/>
        <v>0</v>
      </c>
      <c r="J159" s="94">
        <f t="shared" si="33"/>
        <v>0</v>
      </c>
    </row>
    <row r="160" spans="1:11">
      <c r="A160" s="107" t="s">
        <v>297</v>
      </c>
      <c r="B160" s="107"/>
      <c r="C160" s="256">
        <v>20</v>
      </c>
      <c r="D160" s="94">
        <f t="shared" ref="D160:J160" si="34">(((B78+B69+B95+B63)*100)/50)*$C$160*D133</f>
        <v>0</v>
      </c>
      <c r="E160" s="94">
        <f t="shared" si="34"/>
        <v>0</v>
      </c>
      <c r="F160" s="94">
        <f t="shared" si="34"/>
        <v>0</v>
      </c>
      <c r="G160" s="94">
        <f t="shared" si="34"/>
        <v>0</v>
      </c>
      <c r="H160" s="94">
        <f t="shared" si="34"/>
        <v>0</v>
      </c>
      <c r="I160" s="94">
        <f t="shared" si="34"/>
        <v>0</v>
      </c>
      <c r="J160" s="94">
        <f t="shared" si="34"/>
        <v>0</v>
      </c>
    </row>
    <row r="161" spans="1:10">
      <c r="A161" s="93" t="s">
        <v>298</v>
      </c>
      <c r="B161" s="93"/>
      <c r="C161" s="230">
        <v>100</v>
      </c>
      <c r="D161" s="94">
        <f t="shared" ref="D161:J161" si="35">(((B78+B69+B95+B63)*100)/50)*$C$161*D133</f>
        <v>0</v>
      </c>
      <c r="E161" s="94">
        <f t="shared" si="35"/>
        <v>0</v>
      </c>
      <c r="F161" s="94">
        <f t="shared" si="35"/>
        <v>0</v>
      </c>
      <c r="G161" s="94">
        <f t="shared" si="35"/>
        <v>0</v>
      </c>
      <c r="H161" s="94">
        <f t="shared" si="35"/>
        <v>0</v>
      </c>
      <c r="I161" s="94">
        <f t="shared" si="35"/>
        <v>0</v>
      </c>
      <c r="J161" s="94">
        <f t="shared" si="35"/>
        <v>0</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92" t="s">
        <v>345</v>
      </c>
      <c r="B166" s="94"/>
      <c r="C166" s="94"/>
      <c r="D166" s="94"/>
      <c r="E166" s="94">
        <f>'5.Closing Stock &amp; W Capital'!F8</f>
        <v>0</v>
      </c>
      <c r="F166" s="94">
        <f>'5.Closing Stock &amp; W Capital'!G8</f>
        <v>0</v>
      </c>
      <c r="G166" s="94">
        <f>'5.Closing Stock &amp; W Capital'!H8</f>
        <v>0</v>
      </c>
      <c r="H166" s="94">
        <f>'5.Closing Stock &amp; W Capital'!I8</f>
        <v>0</v>
      </c>
      <c r="I166" s="94">
        <f>'5.Closing Stock &amp; W Capital'!J8</f>
        <v>0</v>
      </c>
      <c r="J166" s="94">
        <f>'5.Closing Stock &amp; W Capital'!K8</f>
        <v>0</v>
      </c>
    </row>
    <row r="167" spans="1:10">
      <c r="A167" s="192" t="s">
        <v>346</v>
      </c>
      <c r="B167" s="94"/>
      <c r="C167" s="94"/>
      <c r="D167" s="94">
        <f>'5.Closing Stock &amp; W Capital'!E17</f>
        <v>0</v>
      </c>
      <c r="E167" s="94">
        <f>'5.Closing Stock &amp; W Capital'!F17</f>
        <v>0</v>
      </c>
      <c r="F167" s="94">
        <f>'5.Closing Stock &amp; W Capital'!G17</f>
        <v>0</v>
      </c>
      <c r="G167" s="94">
        <f>'5.Closing Stock &amp; W Capital'!H17</f>
        <v>0</v>
      </c>
      <c r="H167" s="94">
        <f>'5.Closing Stock &amp; W Capital'!I17</f>
        <v>0</v>
      </c>
      <c r="I167" s="94">
        <f>'5.Closing Stock &amp; W Capital'!J17</f>
        <v>0</v>
      </c>
      <c r="J167" s="94">
        <f>'5.Closing Stock &amp; W Capital'!K17</f>
        <v>0</v>
      </c>
    </row>
    <row r="168" spans="1:10">
      <c r="A168" s="94"/>
      <c r="B168" s="94"/>
      <c r="C168" s="94"/>
      <c r="D168" s="94"/>
      <c r="E168" s="94"/>
      <c r="F168" s="94"/>
      <c r="G168" s="94"/>
      <c r="H168" s="94"/>
      <c r="I168" s="94"/>
      <c r="J168" s="94"/>
    </row>
    <row r="169" spans="1:10">
      <c r="A169" s="113" t="s">
        <v>324</v>
      </c>
      <c r="B169" s="94"/>
      <c r="C169" s="94"/>
      <c r="D169" s="113">
        <f>SUM(D152:D166)-D167</f>
        <v>0</v>
      </c>
      <c r="E169" s="113">
        <f>SUM(E152:E166)-E167</f>
        <v>0</v>
      </c>
      <c r="F169" s="113">
        <f t="shared" ref="F169:J169" si="36">SUM(F152:F166)-F167</f>
        <v>0</v>
      </c>
      <c r="G169" s="113">
        <f t="shared" si="36"/>
        <v>0</v>
      </c>
      <c r="H169" s="113">
        <f t="shared" si="36"/>
        <v>0</v>
      </c>
      <c r="I169" s="113">
        <f t="shared" si="36"/>
        <v>0</v>
      </c>
      <c r="J169" s="113">
        <f t="shared" si="36"/>
        <v>0</v>
      </c>
    </row>
    <row r="170" spans="1:10">
      <c r="A170" s="92"/>
      <c r="B170" s="92"/>
      <c r="C170" s="92"/>
      <c r="D170" s="92"/>
      <c r="E170" s="92"/>
      <c r="F170" s="92"/>
      <c r="G170" s="92"/>
      <c r="H170" s="92"/>
      <c r="I170" s="92"/>
      <c r="J170" s="92"/>
    </row>
    <row r="171" spans="1:10">
      <c r="A171" s="193" t="s">
        <v>311</v>
      </c>
      <c r="B171" s="193"/>
      <c r="C171" s="193"/>
      <c r="D171" s="113"/>
      <c r="E171" s="113"/>
      <c r="F171" s="113"/>
      <c r="G171" s="113"/>
      <c r="H171" s="113"/>
      <c r="I171" s="113"/>
      <c r="J171" s="113"/>
    </row>
    <row r="172" spans="1:10">
      <c r="A172" s="93" t="s">
        <v>188</v>
      </c>
      <c r="B172" s="230">
        <v>1</v>
      </c>
      <c r="C172" s="254"/>
      <c r="D172" s="94">
        <f t="shared" ref="D172:J172" si="37">$B$172*$C$172*12*D133</f>
        <v>0</v>
      </c>
      <c r="E172" s="94">
        <f t="shared" si="37"/>
        <v>0</v>
      </c>
      <c r="F172" s="94">
        <f t="shared" si="37"/>
        <v>0</v>
      </c>
      <c r="G172" s="94">
        <f t="shared" si="37"/>
        <v>0</v>
      </c>
      <c r="H172" s="94">
        <f t="shared" si="37"/>
        <v>0</v>
      </c>
      <c r="I172" s="94">
        <f t="shared" si="37"/>
        <v>0</v>
      </c>
      <c r="J172" s="94">
        <f t="shared" si="37"/>
        <v>0</v>
      </c>
    </row>
    <row r="173" spans="1:10">
      <c r="A173" s="93"/>
      <c r="B173" s="230"/>
      <c r="C173" s="254"/>
      <c r="D173" s="94"/>
      <c r="E173" s="94"/>
      <c r="F173" s="94"/>
      <c r="G173" s="94"/>
      <c r="H173" s="94"/>
      <c r="I173" s="94"/>
      <c r="J173" s="94"/>
    </row>
    <row r="174" spans="1:10">
      <c r="A174" s="93"/>
      <c r="B174" s="230"/>
      <c r="C174" s="254"/>
      <c r="D174" s="94"/>
      <c r="E174" s="94"/>
      <c r="F174" s="94"/>
      <c r="G174" s="94"/>
      <c r="H174" s="94"/>
      <c r="I174" s="94"/>
      <c r="J174" s="94"/>
    </row>
    <row r="175" spans="1:10">
      <c r="A175" s="93"/>
      <c r="B175" s="230"/>
      <c r="C175" s="254"/>
      <c r="D175" s="94"/>
      <c r="E175" s="94"/>
      <c r="F175" s="94"/>
      <c r="G175" s="94"/>
      <c r="H175" s="94"/>
      <c r="I175" s="94"/>
      <c r="J175" s="94"/>
    </row>
    <row r="176" spans="1:10">
      <c r="A176" s="93"/>
      <c r="B176" s="230"/>
      <c r="C176" s="254"/>
      <c r="D176" s="94"/>
      <c r="E176" s="94"/>
      <c r="F176" s="94"/>
      <c r="G176" s="94"/>
      <c r="H176" s="94"/>
      <c r="I176" s="94"/>
      <c r="J176" s="94"/>
    </row>
    <row r="177" spans="1:10">
      <c r="A177" s="95" t="s">
        <v>311</v>
      </c>
      <c r="B177" s="95"/>
      <c r="C177" s="95"/>
      <c r="D177" s="113">
        <f t="shared" ref="D177:J177" si="38">SUM(D172:D176)</f>
        <v>0</v>
      </c>
      <c r="E177" s="113">
        <f t="shared" si="38"/>
        <v>0</v>
      </c>
      <c r="F177" s="113">
        <f t="shared" si="38"/>
        <v>0</v>
      </c>
      <c r="G177" s="113">
        <f t="shared" si="38"/>
        <v>0</v>
      </c>
      <c r="H177" s="113">
        <f t="shared" si="38"/>
        <v>0</v>
      </c>
      <c r="I177" s="113">
        <f t="shared" si="38"/>
        <v>0</v>
      </c>
      <c r="J177" s="113">
        <f t="shared" si="38"/>
        <v>0</v>
      </c>
    </row>
    <row r="178" spans="1:10">
      <c r="A178" s="193" t="s">
        <v>299</v>
      </c>
      <c r="B178" s="193"/>
      <c r="C178" s="193"/>
      <c r="D178" s="113">
        <f t="shared" ref="D178:J178" si="39">D169+D177</f>
        <v>0</v>
      </c>
      <c r="E178" s="113">
        <f t="shared" si="39"/>
        <v>0</v>
      </c>
      <c r="F178" s="113">
        <f t="shared" si="39"/>
        <v>0</v>
      </c>
      <c r="G178" s="113">
        <f t="shared" si="39"/>
        <v>0</v>
      </c>
      <c r="H178" s="113">
        <f t="shared" si="39"/>
        <v>0</v>
      </c>
      <c r="I178" s="113">
        <f t="shared" si="39"/>
        <v>0</v>
      </c>
      <c r="J178" s="113">
        <f t="shared" si="39"/>
        <v>0</v>
      </c>
    </row>
    <row r="179" spans="1:10">
      <c r="A179" s="93"/>
      <c r="B179" s="93"/>
      <c r="C179" s="93"/>
      <c r="D179" s="94"/>
      <c r="E179" s="94"/>
      <c r="F179" s="94"/>
      <c r="G179" s="94"/>
      <c r="H179" s="94"/>
      <c r="I179" s="94"/>
      <c r="J179" s="94"/>
    </row>
    <row r="180" spans="1:10">
      <c r="A180" s="95" t="s">
        <v>7</v>
      </c>
      <c r="B180" s="95"/>
      <c r="C180" s="95"/>
      <c r="D180" s="113">
        <f t="shared" ref="D180:J180" si="40">D148-D178</f>
        <v>0</v>
      </c>
      <c r="E180" s="113">
        <f t="shared" si="40"/>
        <v>0</v>
      </c>
      <c r="F180" s="113">
        <f t="shared" si="40"/>
        <v>0</v>
      </c>
      <c r="G180" s="113">
        <f t="shared" si="40"/>
        <v>0</v>
      </c>
      <c r="H180" s="113">
        <f t="shared" si="40"/>
        <v>0</v>
      </c>
      <c r="I180" s="113">
        <f t="shared" si="40"/>
        <v>0</v>
      </c>
      <c r="J180" s="113">
        <f t="shared" si="40"/>
        <v>0</v>
      </c>
    </row>
    <row r="181" spans="1:10">
      <c r="A181" s="114"/>
      <c r="B181" s="114"/>
      <c r="C181" s="114"/>
      <c r="D181" s="92"/>
      <c r="E181" s="92"/>
      <c r="F181" s="92"/>
      <c r="G181" s="92"/>
      <c r="H181" s="92"/>
      <c r="I181" s="92"/>
      <c r="J181" s="92"/>
    </row>
    <row r="182" spans="1:10">
      <c r="A182" s="92"/>
      <c r="B182" s="92"/>
      <c r="C182" s="92"/>
      <c r="D182" s="92"/>
      <c r="E182" s="92"/>
      <c r="F182" s="92"/>
      <c r="G182" s="92"/>
      <c r="H182" s="92"/>
      <c r="I182" s="92"/>
      <c r="J182" s="92"/>
    </row>
    <row r="183" spans="1:10">
      <c r="A183" s="92"/>
      <c r="B183" s="92"/>
      <c r="C183" s="92"/>
      <c r="D183" s="92"/>
      <c r="E183" s="92"/>
      <c r="F183" s="92"/>
      <c r="G183" s="92"/>
      <c r="H183" s="92"/>
      <c r="I183" s="92"/>
      <c r="J183" s="92"/>
    </row>
    <row r="184" spans="1:10">
      <c r="A184" s="429" t="s">
        <v>428</v>
      </c>
      <c r="B184" s="429"/>
      <c r="C184" s="429"/>
      <c r="D184" s="429"/>
      <c r="E184" s="429"/>
      <c r="F184" s="429"/>
      <c r="G184" s="429"/>
      <c r="H184" s="429"/>
      <c r="I184" s="429"/>
      <c r="J184" s="429"/>
    </row>
    <row r="186" spans="1:10">
      <c r="A186" t="s">
        <v>541</v>
      </c>
    </row>
    <row r="187" spans="1:10">
      <c r="A187">
        <v>1</v>
      </c>
      <c r="B187" t="s">
        <v>552</v>
      </c>
    </row>
    <row r="188" spans="1:10">
      <c r="A188">
        <v>2</v>
      </c>
      <c r="B188" t="s">
        <v>553</v>
      </c>
    </row>
    <row r="189" spans="1:10">
      <c r="A189">
        <v>3</v>
      </c>
      <c r="B189" s="92" t="s">
        <v>605</v>
      </c>
    </row>
  </sheetData>
  <mergeCells count="4">
    <mergeCell ref="A131:J131"/>
    <mergeCell ref="A3:H3"/>
    <mergeCell ref="A184:J184"/>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7"/>
  <sheetViews>
    <sheetView zoomScale="130" zoomScaleNormal="130" zoomScaleSheetLayoutView="80" workbookViewId="0">
      <selection activeCell="F64" sqref="F64"/>
    </sheetView>
  </sheetViews>
  <sheetFormatPr defaultRowHeight="14.4"/>
  <cols>
    <col min="1" max="1" width="30.44140625" bestFit="1" customWidth="1"/>
    <col min="2" max="2" width="21.33203125" customWidth="1"/>
    <col min="3" max="3" width="11.109375" customWidth="1"/>
    <col min="4" max="4" width="13.88671875" customWidth="1"/>
    <col min="5" max="5" width="12.88671875" customWidth="1"/>
    <col min="6" max="6" width="12.33203125" customWidth="1"/>
    <col min="7" max="7" width="11.6640625" customWidth="1"/>
    <col min="8" max="8" width="11.44140625" customWidth="1"/>
    <col min="9" max="9" width="12.6640625" customWidth="1"/>
    <col min="10" max="10" width="11.5546875" customWidth="1"/>
  </cols>
  <sheetData>
    <row r="2" spans="1:10" ht="17.399999999999999">
      <c r="A2" s="496" t="s">
        <v>592</v>
      </c>
      <c r="B2" s="496"/>
      <c r="C2" s="496"/>
      <c r="D2" s="496"/>
      <c r="E2" s="496"/>
      <c r="F2" s="496"/>
      <c r="G2" s="496"/>
      <c r="H2" s="496"/>
    </row>
    <row r="3" spans="1:10" ht="17.399999999999999">
      <c r="A3" s="496" t="s">
        <v>593</v>
      </c>
      <c r="B3" s="496"/>
      <c r="C3" s="496"/>
      <c r="D3" s="496"/>
      <c r="E3" s="496"/>
      <c r="F3" s="496"/>
      <c r="G3" s="496"/>
      <c r="H3" s="496"/>
    </row>
    <row r="4" spans="1:10">
      <c r="A4" s="184" t="s">
        <v>162</v>
      </c>
      <c r="B4" s="259">
        <v>2000</v>
      </c>
      <c r="C4" s="182" t="s">
        <v>300</v>
      </c>
      <c r="D4" s="182"/>
      <c r="E4" s="182"/>
      <c r="F4" s="182"/>
      <c r="G4" s="183"/>
      <c r="H4" s="92"/>
    </row>
    <row r="5" spans="1:10">
      <c r="A5" s="184" t="s">
        <v>728</v>
      </c>
      <c r="B5" s="259">
        <v>500</v>
      </c>
      <c r="C5" s="182" t="s">
        <v>300</v>
      </c>
      <c r="D5" s="182"/>
      <c r="E5" s="182"/>
      <c r="F5" s="182"/>
      <c r="G5" s="183"/>
      <c r="H5" s="92"/>
    </row>
    <row r="6" spans="1:10">
      <c r="A6" s="184" t="s">
        <v>729</v>
      </c>
      <c r="B6" s="185">
        <f>B4-B5</f>
        <v>1500</v>
      </c>
      <c r="C6" s="182" t="s">
        <v>300</v>
      </c>
      <c r="D6" s="183"/>
      <c r="E6" s="183"/>
      <c r="F6" s="183"/>
      <c r="G6" s="183"/>
      <c r="H6" s="92"/>
    </row>
    <row r="7" spans="1:10">
      <c r="A7" s="184" t="s">
        <v>302</v>
      </c>
      <c r="B7" s="186">
        <v>12</v>
      </c>
      <c r="C7" s="183"/>
      <c r="D7" s="186"/>
      <c r="E7" s="186"/>
      <c r="F7" s="183"/>
      <c r="G7" s="183"/>
      <c r="H7" s="92"/>
    </row>
    <row r="8" spans="1:10">
      <c r="A8" s="184"/>
      <c r="B8" s="92"/>
      <c r="C8" s="186"/>
      <c r="D8" s="186"/>
      <c r="E8" s="186"/>
      <c r="F8" s="183"/>
      <c r="G8" s="183"/>
      <c r="H8" s="92"/>
    </row>
    <row r="9" spans="1:10">
      <c r="A9" s="146" t="s">
        <v>127</v>
      </c>
      <c r="B9" s="118" t="s">
        <v>2</v>
      </c>
      <c r="C9" s="118" t="s">
        <v>3</v>
      </c>
      <c r="D9" s="118" t="s">
        <v>4</v>
      </c>
      <c r="E9" s="118" t="s">
        <v>5</v>
      </c>
      <c r="F9" s="118" t="s">
        <v>6</v>
      </c>
      <c r="G9" s="118" t="s">
        <v>170</v>
      </c>
      <c r="H9" s="118" t="s">
        <v>169</v>
      </c>
    </row>
    <row r="10" spans="1:10">
      <c r="A10" s="93" t="s">
        <v>303</v>
      </c>
      <c r="B10" s="278">
        <v>0.7</v>
      </c>
      <c r="C10" s="278">
        <f>B10+5%</f>
        <v>0.75</v>
      </c>
      <c r="D10" s="278">
        <f>C10+5%</f>
        <v>0.8</v>
      </c>
      <c r="E10" s="278">
        <f>D10+5%</f>
        <v>0.85000000000000009</v>
      </c>
      <c r="F10" s="278">
        <f>E10+5%</f>
        <v>0.90000000000000013</v>
      </c>
      <c r="G10" s="278">
        <f>F10</f>
        <v>0.90000000000000013</v>
      </c>
      <c r="H10" s="278">
        <f>G10</f>
        <v>0.90000000000000013</v>
      </c>
    </row>
    <row r="11" spans="1:10">
      <c r="A11" s="95" t="s">
        <v>325</v>
      </c>
      <c r="B11" s="188">
        <f t="shared" ref="B11:H11" si="0">$B$6*B10*$B$7</f>
        <v>12600</v>
      </c>
      <c r="C11" s="188">
        <f t="shared" si="0"/>
        <v>13500</v>
      </c>
      <c r="D11" s="188">
        <f t="shared" si="0"/>
        <v>14400</v>
      </c>
      <c r="E11" s="188">
        <f t="shared" si="0"/>
        <v>15300.000000000004</v>
      </c>
      <c r="F11" s="188">
        <f t="shared" si="0"/>
        <v>16200.000000000004</v>
      </c>
      <c r="G11" s="188">
        <f t="shared" si="0"/>
        <v>16200.000000000004</v>
      </c>
      <c r="H11" s="188">
        <f t="shared" si="0"/>
        <v>16200.000000000004</v>
      </c>
    </row>
    <row r="16" spans="1:10" ht="17.399999999999999">
      <c r="A16" s="428" t="s">
        <v>594</v>
      </c>
      <c r="B16" s="428"/>
      <c r="C16" s="428"/>
      <c r="D16" s="428"/>
      <c r="E16" s="428"/>
      <c r="F16" s="428"/>
      <c r="G16" s="428"/>
      <c r="H16" s="428"/>
      <c r="I16" s="428"/>
      <c r="J16" s="428"/>
    </row>
    <row r="17" spans="1:10">
      <c r="A17" s="13"/>
      <c r="B17" s="60"/>
      <c r="C17" s="29"/>
      <c r="D17" s="13"/>
      <c r="E17" s="13"/>
      <c r="F17" s="13"/>
      <c r="G17" s="13"/>
      <c r="H17" s="13"/>
    </row>
    <row r="18" spans="1:10">
      <c r="A18" s="92"/>
      <c r="B18" s="92"/>
      <c r="C18" s="92"/>
      <c r="D18" s="176">
        <v>1</v>
      </c>
      <c r="E18" s="181">
        <f>(D18*5%)+D18</f>
        <v>1.05</v>
      </c>
      <c r="F18" s="181">
        <f t="shared" ref="F18:J18" si="1">(E18*5%)+E18</f>
        <v>1.1025</v>
      </c>
      <c r="G18" s="181">
        <f t="shared" si="1"/>
        <v>1.1576250000000001</v>
      </c>
      <c r="H18" s="181">
        <f t="shared" si="1"/>
        <v>1.2155062500000002</v>
      </c>
      <c r="I18" s="181">
        <f t="shared" si="1"/>
        <v>1.2762815625000004</v>
      </c>
      <c r="J18" s="181">
        <f t="shared" si="1"/>
        <v>1.3400956406250004</v>
      </c>
    </row>
    <row r="19" spans="1:10">
      <c r="A19" s="146" t="s">
        <v>0</v>
      </c>
      <c r="B19" s="146" t="s">
        <v>132</v>
      </c>
      <c r="C19" s="146" t="s">
        <v>153</v>
      </c>
      <c r="D19" s="118" t="s">
        <v>2</v>
      </c>
      <c r="E19" s="118" t="s">
        <v>3</v>
      </c>
      <c r="F19" s="118" t="s">
        <v>4</v>
      </c>
      <c r="G19" s="118" t="s">
        <v>5</v>
      </c>
      <c r="H19" s="118" t="s">
        <v>6</v>
      </c>
      <c r="I19" s="118" t="s">
        <v>170</v>
      </c>
      <c r="J19" s="118" t="s">
        <v>169</v>
      </c>
    </row>
    <row r="20" spans="1:10">
      <c r="A20" s="93"/>
      <c r="B20" s="93"/>
      <c r="C20" s="93"/>
      <c r="D20" s="93"/>
      <c r="E20" s="93"/>
      <c r="F20" s="93"/>
      <c r="G20" s="93"/>
      <c r="H20" s="93"/>
      <c r="I20" s="93"/>
      <c r="J20" s="93"/>
    </row>
    <row r="21" spans="1:10">
      <c r="A21" s="95"/>
      <c r="B21" s="95"/>
      <c r="C21" s="95"/>
      <c r="D21" s="93"/>
      <c r="E21" s="93"/>
      <c r="F21" s="93"/>
      <c r="G21" s="93"/>
      <c r="H21" s="93"/>
      <c r="I21" s="93"/>
      <c r="J21" s="93"/>
    </row>
    <row r="22" spans="1:10">
      <c r="A22" s="95" t="s">
        <v>327</v>
      </c>
      <c r="B22" s="93"/>
      <c r="C22" s="254">
        <v>150</v>
      </c>
      <c r="D22" s="94">
        <f>B11*$C$22*D18</f>
        <v>1890000</v>
      </c>
      <c r="E22" s="94">
        <f t="shared" ref="E22:J22" si="2">C11*$C$22*E18</f>
        <v>2126250</v>
      </c>
      <c r="F22" s="94">
        <f t="shared" si="2"/>
        <v>2381400</v>
      </c>
      <c r="G22" s="94">
        <f t="shared" si="2"/>
        <v>2656749.3750000009</v>
      </c>
      <c r="H22" s="94">
        <f t="shared" si="2"/>
        <v>2953680.1875000009</v>
      </c>
      <c r="I22" s="94">
        <f t="shared" si="2"/>
        <v>3101364.1968750013</v>
      </c>
      <c r="J22" s="94">
        <f t="shared" si="2"/>
        <v>3256432.4067187514</v>
      </c>
    </row>
    <row r="23" spans="1:10">
      <c r="A23" s="93"/>
      <c r="B23" s="93"/>
      <c r="C23" s="94"/>
      <c r="D23" s="94"/>
      <c r="E23" s="94"/>
      <c r="F23" s="94"/>
      <c r="G23" s="94"/>
      <c r="H23" s="94"/>
      <c r="I23" s="94"/>
      <c r="J23" s="94"/>
    </row>
    <row r="24" spans="1:10">
      <c r="A24" s="95" t="s">
        <v>143</v>
      </c>
      <c r="B24" s="95"/>
      <c r="C24" s="113"/>
      <c r="D24" s="94">
        <f t="shared" ref="D24:J24" si="3">SUM(D22:D22)</f>
        <v>1890000</v>
      </c>
      <c r="E24" s="94">
        <f t="shared" si="3"/>
        <v>2126250</v>
      </c>
      <c r="F24" s="94">
        <f t="shared" si="3"/>
        <v>2381400</v>
      </c>
      <c r="G24" s="94">
        <f t="shared" si="3"/>
        <v>2656749.3750000009</v>
      </c>
      <c r="H24" s="94">
        <f t="shared" si="3"/>
        <v>2953680.1875000009</v>
      </c>
      <c r="I24" s="94">
        <f t="shared" si="3"/>
        <v>3101364.1968750013</v>
      </c>
      <c r="J24" s="94">
        <f t="shared" si="3"/>
        <v>3256432.4067187514</v>
      </c>
    </row>
    <row r="25" spans="1:10">
      <c r="A25" s="93"/>
      <c r="B25" s="93"/>
      <c r="C25" s="94"/>
      <c r="D25" s="94"/>
      <c r="E25" s="94"/>
      <c r="F25" s="94"/>
      <c r="G25" s="94"/>
      <c r="H25" s="94"/>
      <c r="I25" s="94"/>
      <c r="J25" s="94"/>
    </row>
    <row r="26" spans="1:10">
      <c r="A26" s="95" t="s">
        <v>142</v>
      </c>
      <c r="B26" s="95"/>
      <c r="C26" s="94"/>
      <c r="D26" s="94"/>
      <c r="E26" s="94"/>
      <c r="F26" s="94"/>
      <c r="G26" s="94"/>
      <c r="H26" s="94"/>
      <c r="I26" s="94"/>
      <c r="J26" s="94"/>
    </row>
    <row r="27" spans="1:10">
      <c r="A27" s="95" t="s">
        <v>313</v>
      </c>
      <c r="B27" s="95"/>
      <c r="C27" s="94"/>
      <c r="D27" s="94"/>
      <c r="E27" s="94"/>
      <c r="F27" s="94"/>
      <c r="G27" s="94"/>
      <c r="H27" s="94"/>
      <c r="I27" s="94"/>
      <c r="J27" s="94"/>
    </row>
    <row r="28" spans="1:10">
      <c r="A28" s="93" t="s">
        <v>304</v>
      </c>
      <c r="B28" s="230" t="s">
        <v>300</v>
      </c>
      <c r="C28" s="254">
        <v>10</v>
      </c>
      <c r="D28" s="94">
        <f>$B$11*$C$28*D18</f>
        <v>126000</v>
      </c>
      <c r="E28" s="94">
        <f t="shared" ref="E28:J28" si="4">$B$11*$C$28*E18</f>
        <v>132300</v>
      </c>
      <c r="F28" s="94">
        <f t="shared" si="4"/>
        <v>138915</v>
      </c>
      <c r="G28" s="94">
        <f t="shared" si="4"/>
        <v>145860.75000000003</v>
      </c>
      <c r="H28" s="94">
        <f t="shared" si="4"/>
        <v>153153.78750000003</v>
      </c>
      <c r="I28" s="94">
        <f t="shared" si="4"/>
        <v>160811.47687500005</v>
      </c>
      <c r="J28" s="94">
        <f t="shared" si="4"/>
        <v>168852.05071875005</v>
      </c>
    </row>
    <row r="29" spans="1:10">
      <c r="A29" s="93" t="s">
        <v>305</v>
      </c>
      <c r="B29" s="230" t="s">
        <v>300</v>
      </c>
      <c r="C29" s="254">
        <v>8</v>
      </c>
      <c r="D29" s="94">
        <f>$B$11*$C$29*D18</f>
        <v>100800</v>
      </c>
      <c r="E29" s="94">
        <f t="shared" ref="E29:J29" si="5">$B$11*$C$29*E18</f>
        <v>105840</v>
      </c>
      <c r="F29" s="94">
        <f t="shared" si="5"/>
        <v>111132</v>
      </c>
      <c r="G29" s="94">
        <f t="shared" si="5"/>
        <v>116688.6</v>
      </c>
      <c r="H29" s="94">
        <f t="shared" si="5"/>
        <v>122523.03000000003</v>
      </c>
      <c r="I29" s="94">
        <f t="shared" si="5"/>
        <v>128649.18150000004</v>
      </c>
      <c r="J29" s="94">
        <f t="shared" si="5"/>
        <v>135081.64057500006</v>
      </c>
    </row>
    <row r="30" spans="1:10">
      <c r="A30" s="93" t="s">
        <v>306</v>
      </c>
      <c r="B30" s="230"/>
      <c r="C30" s="254">
        <v>5000</v>
      </c>
      <c r="D30" s="94">
        <f>$C$30*12*D18</f>
        <v>60000</v>
      </c>
      <c r="E30" s="94">
        <f t="shared" ref="E30:J30" si="6">$C$30*12*E18</f>
        <v>63000</v>
      </c>
      <c r="F30" s="94">
        <f t="shared" si="6"/>
        <v>66150</v>
      </c>
      <c r="G30" s="94">
        <f t="shared" si="6"/>
        <v>69457.500000000015</v>
      </c>
      <c r="H30" s="94">
        <f t="shared" si="6"/>
        <v>72930.375000000015</v>
      </c>
      <c r="I30" s="94">
        <f t="shared" si="6"/>
        <v>76576.893750000017</v>
      </c>
      <c r="J30" s="94">
        <f t="shared" si="6"/>
        <v>80405.738437500026</v>
      </c>
    </row>
    <row r="31" spans="1:10">
      <c r="A31" s="93"/>
      <c r="B31" s="230"/>
      <c r="C31" s="254"/>
      <c r="D31" s="94"/>
      <c r="E31" s="94"/>
      <c r="F31" s="94"/>
      <c r="G31" s="94"/>
      <c r="H31" s="94"/>
      <c r="I31" s="94"/>
      <c r="J31" s="94"/>
    </row>
    <row r="32" spans="1:10">
      <c r="A32" s="93"/>
      <c r="B32" s="230"/>
      <c r="C32" s="254"/>
      <c r="D32" s="94"/>
      <c r="E32" s="94"/>
      <c r="F32" s="94"/>
      <c r="G32" s="94"/>
      <c r="H32" s="94"/>
      <c r="I32" s="94"/>
      <c r="J32" s="94"/>
    </row>
    <row r="33" spans="1:10">
      <c r="A33" s="93"/>
      <c r="B33" s="230"/>
      <c r="C33" s="254"/>
      <c r="D33" s="94"/>
      <c r="E33" s="94"/>
      <c r="F33" s="94"/>
      <c r="G33" s="94"/>
      <c r="H33" s="94"/>
      <c r="I33" s="94"/>
      <c r="J33" s="94"/>
    </row>
    <row r="34" spans="1:10">
      <c r="A34" s="93"/>
      <c r="B34" s="230"/>
      <c r="C34" s="254"/>
      <c r="D34" s="94"/>
      <c r="E34" s="94"/>
      <c r="F34" s="94"/>
      <c r="G34" s="94"/>
      <c r="H34" s="94"/>
      <c r="I34" s="94"/>
      <c r="J34" s="94"/>
    </row>
    <row r="35" spans="1:10">
      <c r="A35" s="95" t="s">
        <v>324</v>
      </c>
      <c r="B35" s="235"/>
      <c r="C35" s="258"/>
      <c r="D35" s="113">
        <f>SUM(D28:D34)</f>
        <v>286800</v>
      </c>
      <c r="E35" s="113">
        <f t="shared" ref="E35:J35" si="7">SUM(E28:E34)</f>
        <v>301140</v>
      </c>
      <c r="F35" s="113">
        <f t="shared" si="7"/>
        <v>316197</v>
      </c>
      <c r="G35" s="113">
        <f t="shared" si="7"/>
        <v>332006.85000000003</v>
      </c>
      <c r="H35" s="113">
        <f t="shared" si="7"/>
        <v>348607.19250000006</v>
      </c>
      <c r="I35" s="113">
        <f t="shared" si="7"/>
        <v>366037.55212500016</v>
      </c>
      <c r="J35" s="113">
        <f t="shared" si="7"/>
        <v>384339.4297312501</v>
      </c>
    </row>
    <row r="36" spans="1:10">
      <c r="A36" s="95"/>
      <c r="B36" s="235"/>
      <c r="C36" s="258"/>
      <c r="D36" s="113"/>
      <c r="E36" s="113"/>
      <c r="F36" s="113"/>
      <c r="G36" s="113"/>
      <c r="H36" s="113"/>
      <c r="I36" s="113"/>
      <c r="J36" s="113"/>
    </row>
    <row r="37" spans="1:10">
      <c r="A37" s="95" t="s">
        <v>311</v>
      </c>
      <c r="B37" s="230"/>
      <c r="C37" s="254"/>
      <c r="D37" s="94"/>
      <c r="E37" s="94"/>
      <c r="F37" s="94"/>
      <c r="G37" s="94"/>
      <c r="H37" s="94"/>
      <c r="I37" s="94"/>
      <c r="J37" s="94"/>
    </row>
    <row r="38" spans="1:10">
      <c r="A38" s="93" t="s">
        <v>326</v>
      </c>
      <c r="B38" s="230">
        <v>1</v>
      </c>
      <c r="C38" s="254">
        <v>7000</v>
      </c>
      <c r="D38" s="94">
        <f>$B$38*$C$38*D18*12</f>
        <v>84000</v>
      </c>
      <c r="E38" s="94">
        <f>$B$38*$C$38*E18*12</f>
        <v>88200</v>
      </c>
      <c r="F38" s="94">
        <f t="shared" ref="F38:J38" si="8">$B$38*$C$38*F18*12</f>
        <v>92610</v>
      </c>
      <c r="G38" s="94">
        <f t="shared" si="8"/>
        <v>97240.500000000015</v>
      </c>
      <c r="H38" s="94">
        <f t="shared" si="8"/>
        <v>102102.52500000001</v>
      </c>
      <c r="I38" s="94">
        <f t="shared" si="8"/>
        <v>107207.65125000002</v>
      </c>
      <c r="J38" s="94">
        <f t="shared" si="8"/>
        <v>112568.03381250004</v>
      </c>
    </row>
    <row r="39" spans="1:10">
      <c r="A39" s="93" t="s">
        <v>705</v>
      </c>
      <c r="B39" s="230">
        <v>1</v>
      </c>
      <c r="C39" s="254">
        <v>5500</v>
      </c>
      <c r="D39" s="94">
        <f>$B$39*$C$39*$D$18*12</f>
        <v>66000</v>
      </c>
      <c r="E39" s="94">
        <f>$B$39*$C$39*$E$18*12</f>
        <v>69300</v>
      </c>
      <c r="F39" s="94">
        <f>$B$39*$C$39*$F$18*12</f>
        <v>72765</v>
      </c>
      <c r="G39" s="94">
        <f>$B$39*$C$39*$G$18*12</f>
        <v>76403.250000000015</v>
      </c>
      <c r="H39" s="94">
        <f>$B$39*$C$39*$H$18*12</f>
        <v>80223.412500000006</v>
      </c>
      <c r="I39" s="94">
        <f>$B$39*$C$39*$I$18*12</f>
        <v>84234.583125000019</v>
      </c>
      <c r="J39" s="94">
        <f>$B$39*$C$39*$J$18*12</f>
        <v>88446.312281250022</v>
      </c>
    </row>
    <row r="40" spans="1:10">
      <c r="A40" s="93" t="s">
        <v>732</v>
      </c>
      <c r="B40" s="230"/>
      <c r="C40" s="254"/>
      <c r="D40" s="94">
        <f>'2.Capex Details'!G12*0.005</f>
        <v>90365</v>
      </c>
      <c r="E40" s="94">
        <f>D40</f>
        <v>90365</v>
      </c>
      <c r="F40" s="94">
        <f t="shared" ref="F40:J40" si="9">E40</f>
        <v>90365</v>
      </c>
      <c r="G40" s="94">
        <f t="shared" si="9"/>
        <v>90365</v>
      </c>
      <c r="H40" s="94">
        <f t="shared" si="9"/>
        <v>90365</v>
      </c>
      <c r="I40" s="94">
        <f t="shared" si="9"/>
        <v>90365</v>
      </c>
      <c r="J40" s="94">
        <f t="shared" si="9"/>
        <v>90365</v>
      </c>
    </row>
    <row r="41" spans="1:10">
      <c r="A41" s="93" t="s">
        <v>733</v>
      </c>
      <c r="B41" s="230"/>
      <c r="C41" s="254"/>
      <c r="D41" s="94">
        <f>(B11*'12.Facility 1 - Trading'!$C$178*'12.Facility 1 - Trading'!D172)*0.001</f>
        <v>73080</v>
      </c>
      <c r="E41" s="94">
        <f>(C11*'12.Facility 1 - Trading'!$C$178*'12.Facility 1 - Trading'!E172)*0.001</f>
        <v>82215</v>
      </c>
      <c r="F41" s="94">
        <f>(D11*'12.Facility 1 - Trading'!$C$178*'12.Facility 1 - Trading'!F172)*0.001</f>
        <v>92080.8</v>
      </c>
      <c r="G41" s="94">
        <f>(E11*'12.Facility 1 - Trading'!$C$178*'12.Facility 1 - Trading'!G172)*0.001</f>
        <v>102727.64250000003</v>
      </c>
      <c r="H41" s="94">
        <f>(F11*'12.Facility 1 - Trading'!$C$178*'12.Facility 1 - Trading'!H172)*0.001</f>
        <v>114208.96725000005</v>
      </c>
      <c r="I41" s="94">
        <f>(G11*'12.Facility 1 - Trading'!$C$178*'12.Facility 1 - Trading'!I172)*0.001</f>
        <v>119919.41561250006</v>
      </c>
      <c r="J41" s="94">
        <f>(H11*'12.Facility 1 - Trading'!$C$178*'12.Facility 1 - Trading'!J172)*0.001</f>
        <v>125915.38639312505</v>
      </c>
    </row>
    <row r="42" spans="1:10">
      <c r="A42" s="93"/>
      <c r="B42" s="230"/>
      <c r="C42" s="254"/>
      <c r="D42" s="94"/>
      <c r="E42" s="94"/>
      <c r="F42" s="94"/>
      <c r="G42" s="94"/>
      <c r="H42" s="94"/>
      <c r="I42" s="94"/>
      <c r="J42" s="94"/>
    </row>
    <row r="43" spans="1:10">
      <c r="A43" s="93"/>
      <c r="B43" s="230"/>
      <c r="C43" s="254"/>
      <c r="D43" s="94"/>
      <c r="E43" s="94"/>
      <c r="F43" s="94"/>
      <c r="G43" s="94"/>
      <c r="H43" s="94"/>
      <c r="I43" s="94"/>
      <c r="J43" s="94"/>
    </row>
    <row r="44" spans="1:10">
      <c r="A44" s="95" t="s">
        <v>328</v>
      </c>
      <c r="B44" s="95"/>
      <c r="C44" s="113"/>
      <c r="D44" s="113">
        <f>SUM(D38:D43)</f>
        <v>313445</v>
      </c>
      <c r="E44" s="113">
        <f t="shared" ref="E44:J44" si="10">SUM(E38:E43)</f>
        <v>330080</v>
      </c>
      <c r="F44" s="113">
        <f t="shared" si="10"/>
        <v>347820.79999999999</v>
      </c>
      <c r="G44" s="113">
        <f t="shared" si="10"/>
        <v>366736.39250000002</v>
      </c>
      <c r="H44" s="113">
        <f t="shared" si="10"/>
        <v>386899.90475000005</v>
      </c>
      <c r="I44" s="113">
        <f t="shared" si="10"/>
        <v>401726.6499875001</v>
      </c>
      <c r="J44" s="113">
        <f t="shared" si="10"/>
        <v>417294.73248687515</v>
      </c>
    </row>
    <row r="45" spans="1:10">
      <c r="A45" s="95"/>
      <c r="B45" s="95"/>
      <c r="C45" s="113"/>
      <c r="D45" s="113"/>
      <c r="E45" s="113"/>
      <c r="F45" s="113"/>
      <c r="G45" s="113"/>
      <c r="H45" s="113"/>
      <c r="I45" s="113"/>
      <c r="J45" s="113"/>
    </row>
    <row r="46" spans="1:10">
      <c r="A46" s="95" t="s">
        <v>129</v>
      </c>
      <c r="B46" s="95"/>
      <c r="C46" s="113"/>
      <c r="D46" s="113">
        <f>D35+D44</f>
        <v>600245</v>
      </c>
      <c r="E46" s="113">
        <f t="shared" ref="E46:J46" si="11">E35+E44</f>
        <v>631220</v>
      </c>
      <c r="F46" s="113">
        <f t="shared" si="11"/>
        <v>664017.80000000005</v>
      </c>
      <c r="G46" s="113">
        <f t="shared" si="11"/>
        <v>698743.24250000005</v>
      </c>
      <c r="H46" s="113">
        <f t="shared" si="11"/>
        <v>735507.09725000011</v>
      </c>
      <c r="I46" s="113">
        <f t="shared" si="11"/>
        <v>767764.20211250032</v>
      </c>
      <c r="J46" s="113">
        <f t="shared" si="11"/>
        <v>801634.1622181253</v>
      </c>
    </row>
    <row r="47" spans="1:10">
      <c r="A47" s="93"/>
      <c r="B47" s="93"/>
      <c r="C47" s="94"/>
      <c r="D47" s="94"/>
      <c r="E47" s="94"/>
      <c r="F47" s="94"/>
      <c r="G47" s="94"/>
      <c r="H47" s="94"/>
      <c r="I47" s="94"/>
      <c r="J47" s="94"/>
    </row>
    <row r="48" spans="1:10">
      <c r="A48" s="95" t="s">
        <v>128</v>
      </c>
      <c r="B48" s="95"/>
      <c r="C48" s="113"/>
      <c r="D48" s="113">
        <f t="shared" ref="D48:J48" si="12">D24-D46</f>
        <v>1289755</v>
      </c>
      <c r="E48" s="113">
        <f t="shared" si="12"/>
        <v>1495030</v>
      </c>
      <c r="F48" s="113">
        <f t="shared" si="12"/>
        <v>1717382.2</v>
      </c>
      <c r="G48" s="113">
        <f t="shared" si="12"/>
        <v>1958006.1325000008</v>
      </c>
      <c r="H48" s="113">
        <f t="shared" si="12"/>
        <v>2218173.0902500008</v>
      </c>
      <c r="I48" s="113">
        <f t="shared" si="12"/>
        <v>2333599.9947625007</v>
      </c>
      <c r="J48" s="113">
        <f t="shared" si="12"/>
        <v>2454798.2445006259</v>
      </c>
    </row>
    <row r="49" spans="1:10">
      <c r="A49" s="92"/>
      <c r="B49" s="92"/>
      <c r="C49" s="92"/>
      <c r="D49" s="92"/>
      <c r="E49" s="92"/>
      <c r="F49" s="92"/>
      <c r="G49" s="92"/>
      <c r="H49" s="92"/>
      <c r="I49" s="92"/>
      <c r="J49" s="92"/>
    </row>
    <row r="50" spans="1:10">
      <c r="A50" s="92"/>
    </row>
    <row r="52" spans="1:10">
      <c r="A52" s="429" t="s">
        <v>428</v>
      </c>
      <c r="B52" s="429"/>
      <c r="C52" s="429"/>
      <c r="D52" s="429"/>
      <c r="E52" s="429"/>
      <c r="F52" s="429"/>
      <c r="G52" s="429"/>
      <c r="H52" s="429"/>
      <c r="I52" s="429"/>
      <c r="J52" s="429"/>
    </row>
    <row r="54" spans="1:10">
      <c r="A54" t="s">
        <v>541</v>
      </c>
    </row>
    <row r="55" spans="1:10">
      <c r="A55">
        <v>1</v>
      </c>
      <c r="B55" t="s">
        <v>552</v>
      </c>
    </row>
    <row r="56" spans="1:10">
      <c r="A56">
        <v>2</v>
      </c>
      <c r="B56" t="s">
        <v>553</v>
      </c>
    </row>
    <row r="57" spans="1:10">
      <c r="A57">
        <v>3</v>
      </c>
      <c r="B57" s="92" t="s">
        <v>605</v>
      </c>
    </row>
  </sheetData>
  <mergeCells count="4">
    <mergeCell ref="A16:J16"/>
    <mergeCell ref="A2:H2"/>
    <mergeCell ref="A52:J52"/>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topLeftCell="A37" zoomScaleSheetLayoutView="80" workbookViewId="0">
      <selection activeCell="D53" sqref="D53"/>
    </sheetView>
  </sheetViews>
  <sheetFormatPr defaultRowHeight="14.4"/>
  <cols>
    <col min="1" max="2" width="29.44140625" customWidth="1"/>
    <col min="3" max="3" width="12.109375" customWidth="1"/>
    <col min="4" max="4" width="10.33203125" bestFit="1" customWidth="1"/>
    <col min="5" max="5" width="13.44140625" customWidth="1"/>
    <col min="6" max="6" width="14" customWidth="1"/>
    <col min="7" max="7" width="13.44140625" customWidth="1"/>
    <col min="8" max="9" width="14" customWidth="1"/>
    <col min="10" max="11" width="14.44140625" customWidth="1"/>
    <col min="12" max="12" width="12.109375" customWidth="1"/>
    <col min="13" max="13" width="16" customWidth="1"/>
    <col min="14" max="14" width="23.33203125" customWidth="1"/>
    <col min="18" max="18" width="12.6640625" bestFit="1" customWidth="1"/>
  </cols>
  <sheetData>
    <row r="3" spans="1:13" ht="17.399999999999999">
      <c r="A3" s="428" t="s">
        <v>595</v>
      </c>
      <c r="B3" s="428"/>
      <c r="C3" s="428"/>
      <c r="D3" s="428"/>
      <c r="E3" s="428"/>
      <c r="F3" s="428"/>
      <c r="G3" s="428"/>
      <c r="H3" s="428"/>
      <c r="I3" s="428"/>
      <c r="J3" s="428"/>
      <c r="K3" s="428"/>
      <c r="L3" s="428"/>
    </row>
    <row r="4" spans="1:13" ht="17.399999999999999">
      <c r="A4" s="428" t="s">
        <v>596</v>
      </c>
      <c r="B4" s="428"/>
      <c r="C4" s="428"/>
      <c r="D4" s="428"/>
      <c r="E4" s="428"/>
      <c r="F4" s="428"/>
      <c r="G4" s="428"/>
      <c r="H4" s="428"/>
      <c r="I4" s="428"/>
      <c r="J4" s="428"/>
      <c r="K4" s="428"/>
      <c r="L4" s="428"/>
    </row>
    <row r="5" spans="1:13">
      <c r="A5" s="92"/>
      <c r="B5" s="92"/>
      <c r="C5" s="92"/>
    </row>
    <row r="6" spans="1:13">
      <c r="A6" s="92"/>
      <c r="B6" s="92"/>
      <c r="C6" s="92"/>
    </row>
    <row r="7" spans="1:13" ht="43.2">
      <c r="A7" s="289" t="s">
        <v>145</v>
      </c>
      <c r="B7" s="290" t="s">
        <v>436</v>
      </c>
      <c r="C7" s="290" t="s">
        <v>439</v>
      </c>
      <c r="D7" s="290" t="s">
        <v>437</v>
      </c>
      <c r="E7" s="290" t="s">
        <v>438</v>
      </c>
      <c r="F7" s="290" t="s">
        <v>307</v>
      </c>
      <c r="G7" s="290" t="s">
        <v>440</v>
      </c>
      <c r="H7" s="290" t="s">
        <v>441</v>
      </c>
      <c r="I7" s="290" t="s">
        <v>442</v>
      </c>
      <c r="J7" s="292" t="s">
        <v>445</v>
      </c>
      <c r="K7" s="290" t="s">
        <v>443</v>
      </c>
      <c r="L7" s="292" t="s">
        <v>444</v>
      </c>
      <c r="M7" s="290" t="s">
        <v>447</v>
      </c>
    </row>
    <row r="8" spans="1:13">
      <c r="A8" s="291">
        <v>1</v>
      </c>
      <c r="B8" s="285" t="str">
        <f>'2.Capex Details'!C22</f>
        <v>Tractor</v>
      </c>
      <c r="C8" s="285">
        <v>1</v>
      </c>
      <c r="D8" s="285">
        <v>0</v>
      </c>
      <c r="E8" s="285">
        <v>6</v>
      </c>
      <c r="F8" s="294">
        <f>D8*E8*C8</f>
        <v>0</v>
      </c>
      <c r="G8" s="285">
        <v>3</v>
      </c>
      <c r="H8" s="294">
        <f>F8/G8</f>
        <v>0</v>
      </c>
      <c r="I8" s="285">
        <v>12</v>
      </c>
      <c r="J8" s="294">
        <f>H8*I8</f>
        <v>0</v>
      </c>
      <c r="K8" s="285">
        <v>3000</v>
      </c>
      <c r="L8" s="285">
        <v>1</v>
      </c>
      <c r="M8" s="294">
        <f t="shared" ref="M8:M17" si="0">D8*L8</f>
        <v>0</v>
      </c>
    </row>
    <row r="9" spans="1:13">
      <c r="A9" s="291">
        <v>2</v>
      </c>
      <c r="B9" s="285" t="str">
        <f>'2.Capex Details'!C23</f>
        <v>Trailor / Trolly</v>
      </c>
      <c r="C9" s="285">
        <v>1</v>
      </c>
      <c r="D9" s="285">
        <v>240</v>
      </c>
      <c r="E9" s="285">
        <v>6</v>
      </c>
      <c r="F9" s="294">
        <f t="shared" ref="F9:F17" si="1">D9*E9*C9</f>
        <v>1440</v>
      </c>
      <c r="G9" s="285">
        <v>2</v>
      </c>
      <c r="H9" s="294">
        <f>F9/G9</f>
        <v>720</v>
      </c>
      <c r="I9" s="285">
        <v>0</v>
      </c>
      <c r="J9" s="294">
        <f>H9*I9</f>
        <v>0</v>
      </c>
      <c r="K9" s="285">
        <v>1200</v>
      </c>
      <c r="L9" s="285">
        <v>1</v>
      </c>
      <c r="M9" s="294">
        <f t="shared" si="0"/>
        <v>240</v>
      </c>
    </row>
    <row r="10" spans="1:13">
      <c r="A10" s="291">
        <v>3</v>
      </c>
      <c r="B10" s="285" t="str">
        <f>'2.Capex Details'!C24</f>
        <v>M G Plough</v>
      </c>
      <c r="C10" s="285">
        <v>1</v>
      </c>
      <c r="D10" s="285">
        <v>120</v>
      </c>
      <c r="E10" s="285">
        <v>6</v>
      </c>
      <c r="F10" s="294">
        <f t="shared" si="1"/>
        <v>720</v>
      </c>
      <c r="G10" s="285">
        <v>2</v>
      </c>
      <c r="H10" s="294">
        <f>F10/G10</f>
        <v>360</v>
      </c>
      <c r="I10" s="285">
        <v>8</v>
      </c>
      <c r="J10" s="294">
        <f>H10*I10</f>
        <v>2880</v>
      </c>
      <c r="K10" s="285">
        <v>1800</v>
      </c>
      <c r="L10" s="285">
        <v>1</v>
      </c>
      <c r="M10" s="294">
        <f t="shared" si="0"/>
        <v>120</v>
      </c>
    </row>
    <row r="11" spans="1:13">
      <c r="A11" s="291">
        <v>4</v>
      </c>
      <c r="B11" s="285" t="s">
        <v>709</v>
      </c>
      <c r="C11" s="285">
        <v>1</v>
      </c>
      <c r="D11" s="285">
        <v>120</v>
      </c>
      <c r="E11" s="285">
        <v>6</v>
      </c>
      <c r="F11" s="294">
        <f t="shared" si="1"/>
        <v>720</v>
      </c>
      <c r="G11" s="285">
        <v>1</v>
      </c>
      <c r="H11" s="294">
        <f>F11/G11</f>
        <v>720</v>
      </c>
      <c r="I11" s="285">
        <v>3</v>
      </c>
      <c r="J11" s="294">
        <f>H11*I11</f>
        <v>2160</v>
      </c>
      <c r="K11" s="285">
        <v>800</v>
      </c>
      <c r="L11" s="285">
        <v>1</v>
      </c>
      <c r="M11" s="294">
        <f t="shared" si="0"/>
        <v>120</v>
      </c>
    </row>
    <row r="12" spans="1:13">
      <c r="A12" s="291">
        <v>5</v>
      </c>
      <c r="B12" s="285" t="s">
        <v>706</v>
      </c>
      <c r="C12" s="285">
        <v>1</v>
      </c>
      <c r="D12" s="285">
        <v>50</v>
      </c>
      <c r="E12" s="285">
        <v>6</v>
      </c>
      <c r="F12" s="294">
        <f t="shared" si="1"/>
        <v>300</v>
      </c>
      <c r="G12" s="285">
        <v>3</v>
      </c>
      <c r="H12" s="294">
        <f>F12/G12</f>
        <v>100</v>
      </c>
      <c r="I12" s="285">
        <v>12</v>
      </c>
      <c r="J12" s="294">
        <f>H12*I12</f>
        <v>1200</v>
      </c>
      <c r="K12" s="285">
        <v>3000</v>
      </c>
      <c r="L12" s="285">
        <v>1</v>
      </c>
      <c r="M12" s="294">
        <f t="shared" si="0"/>
        <v>50</v>
      </c>
    </row>
    <row r="13" spans="1:13">
      <c r="A13" s="291">
        <v>6</v>
      </c>
      <c r="B13" s="285" t="str">
        <f>'2.Capex Details'!C27</f>
        <v>Rotawetor</v>
      </c>
      <c r="C13" s="285">
        <v>1</v>
      </c>
      <c r="D13" s="285">
        <v>100</v>
      </c>
      <c r="E13" s="285">
        <v>6</v>
      </c>
      <c r="F13" s="294">
        <f t="shared" ref="F13:F16" si="2">D13*E13*C13</f>
        <v>600</v>
      </c>
      <c r="G13" s="285">
        <v>3</v>
      </c>
      <c r="H13" s="294">
        <f t="shared" ref="H13:H16" si="3">F13/G13</f>
        <v>200</v>
      </c>
      <c r="I13" s="285">
        <v>12</v>
      </c>
      <c r="J13" s="294">
        <f t="shared" ref="J13:J16" si="4">H13*I13</f>
        <v>2400</v>
      </c>
      <c r="K13" s="285">
        <v>1400</v>
      </c>
      <c r="L13" s="285">
        <v>1</v>
      </c>
      <c r="M13" s="294">
        <f t="shared" ref="M13:M16" si="5">D13*L13</f>
        <v>100</v>
      </c>
    </row>
    <row r="14" spans="1:13">
      <c r="A14" s="291">
        <v>7</v>
      </c>
      <c r="B14" s="285" t="str">
        <f>'2.Capex Details'!C28</f>
        <v>Agri Drone &amp; Accessories</v>
      </c>
      <c r="C14" s="285">
        <v>1</v>
      </c>
      <c r="D14" s="285">
        <v>100</v>
      </c>
      <c r="E14" s="285">
        <v>6</v>
      </c>
      <c r="F14" s="294">
        <f t="shared" si="2"/>
        <v>600</v>
      </c>
      <c r="G14" s="285">
        <v>2</v>
      </c>
      <c r="H14" s="294">
        <f t="shared" si="3"/>
        <v>300</v>
      </c>
      <c r="I14" s="285">
        <v>5</v>
      </c>
      <c r="J14" s="294">
        <f t="shared" si="4"/>
        <v>1500</v>
      </c>
      <c r="K14" s="285">
        <v>1400</v>
      </c>
      <c r="L14" s="285">
        <v>1</v>
      </c>
      <c r="M14" s="294">
        <f t="shared" si="5"/>
        <v>100</v>
      </c>
    </row>
    <row r="15" spans="1:13">
      <c r="A15" s="291">
        <v>8</v>
      </c>
      <c r="B15" s="285" t="s">
        <v>696</v>
      </c>
      <c r="C15" s="285">
        <v>1</v>
      </c>
      <c r="D15" s="285">
        <v>0</v>
      </c>
      <c r="E15" s="285">
        <v>6</v>
      </c>
      <c r="F15" s="294">
        <f t="shared" si="2"/>
        <v>0</v>
      </c>
      <c r="G15" s="285">
        <v>2</v>
      </c>
      <c r="H15" s="294">
        <f t="shared" si="3"/>
        <v>0</v>
      </c>
      <c r="I15" s="285">
        <v>10</v>
      </c>
      <c r="J15" s="294">
        <f t="shared" si="4"/>
        <v>0</v>
      </c>
      <c r="K15" s="285">
        <v>3000</v>
      </c>
      <c r="L15" s="285">
        <v>1</v>
      </c>
      <c r="M15" s="294">
        <f t="shared" si="5"/>
        <v>0</v>
      </c>
    </row>
    <row r="16" spans="1:13">
      <c r="A16" s="291">
        <v>9</v>
      </c>
      <c r="B16" s="285" t="s">
        <v>696</v>
      </c>
      <c r="C16" s="285">
        <v>1</v>
      </c>
      <c r="D16" s="285">
        <v>0</v>
      </c>
      <c r="E16" s="285">
        <v>6</v>
      </c>
      <c r="F16" s="294">
        <f t="shared" si="2"/>
        <v>0</v>
      </c>
      <c r="G16" s="285">
        <v>2</v>
      </c>
      <c r="H16" s="294">
        <f t="shared" si="3"/>
        <v>0</v>
      </c>
      <c r="I16" s="285">
        <v>10</v>
      </c>
      <c r="J16" s="294">
        <f t="shared" si="4"/>
        <v>0</v>
      </c>
      <c r="K16" s="285">
        <v>3000</v>
      </c>
      <c r="L16" s="285">
        <v>1</v>
      </c>
      <c r="M16" s="294">
        <f t="shared" si="5"/>
        <v>0</v>
      </c>
    </row>
    <row r="17" spans="1:16">
      <c r="A17" s="291">
        <v>10</v>
      </c>
      <c r="B17" s="9"/>
      <c r="C17" s="9"/>
      <c r="D17" s="9"/>
      <c r="E17" s="9"/>
      <c r="F17" s="294">
        <f t="shared" si="1"/>
        <v>0</v>
      </c>
      <c r="G17" s="9">
        <v>0</v>
      </c>
      <c r="H17" s="285"/>
      <c r="I17" s="9"/>
      <c r="J17" s="294">
        <f t="shared" ref="J17" si="6">H17*I17</f>
        <v>0</v>
      </c>
      <c r="K17" s="9"/>
      <c r="L17" s="294"/>
      <c r="M17" s="294">
        <f t="shared" si="0"/>
        <v>0</v>
      </c>
    </row>
    <row r="18" spans="1:16">
      <c r="A18" s="14"/>
      <c r="B18" s="14"/>
      <c r="C18" s="295"/>
      <c r="D18" s="295"/>
      <c r="E18" s="295"/>
      <c r="F18" s="295"/>
      <c r="G18" s="295"/>
      <c r="H18" s="295"/>
      <c r="I18" s="295"/>
      <c r="J18" s="295"/>
      <c r="K18" s="295"/>
      <c r="L18" s="295"/>
      <c r="M18" s="293"/>
    </row>
    <row r="19" spans="1:16">
      <c r="A19" s="14"/>
      <c r="B19" s="14"/>
      <c r="C19" s="295"/>
      <c r="D19" s="295"/>
      <c r="E19" s="295"/>
      <c r="F19" s="295"/>
      <c r="G19" s="295"/>
      <c r="H19" s="295"/>
      <c r="I19" s="295"/>
      <c r="J19" s="295"/>
      <c r="K19" s="295"/>
      <c r="L19" s="295"/>
      <c r="M19" s="293"/>
    </row>
    <row r="21" spans="1:16" ht="17.399999999999999">
      <c r="A21" s="428" t="s">
        <v>597</v>
      </c>
      <c r="B21" s="428"/>
      <c r="C21" s="428"/>
      <c r="D21" s="428"/>
      <c r="E21" s="428"/>
      <c r="F21" s="428"/>
      <c r="G21" s="428"/>
      <c r="H21" s="428"/>
      <c r="I21" s="428"/>
      <c r="J21" s="428"/>
      <c r="K21" s="428"/>
    </row>
    <row r="23" spans="1:16">
      <c r="A23" s="92"/>
      <c r="B23" s="92"/>
      <c r="C23" s="92"/>
      <c r="D23" s="92"/>
      <c r="E23" s="176">
        <v>1</v>
      </c>
      <c r="F23" s="181">
        <f>(E23*5%)+E23</f>
        <v>1.05</v>
      </c>
      <c r="G23" s="181">
        <f t="shared" ref="G23:K23" si="7">(F23*5%)+F23</f>
        <v>1.1025</v>
      </c>
      <c r="H23" s="181">
        <f t="shared" si="7"/>
        <v>1.1576250000000001</v>
      </c>
      <c r="I23" s="181">
        <f t="shared" si="7"/>
        <v>1.2155062500000002</v>
      </c>
      <c r="J23" s="181">
        <f t="shared" si="7"/>
        <v>1.2762815625000004</v>
      </c>
      <c r="K23" s="181">
        <f t="shared" si="7"/>
        <v>1.3400956406250004</v>
      </c>
    </row>
    <row r="24" spans="1:16">
      <c r="A24" s="146" t="s">
        <v>0</v>
      </c>
      <c r="B24" s="146" t="s">
        <v>132</v>
      </c>
      <c r="C24" s="146" t="s">
        <v>146</v>
      </c>
      <c r="D24" s="146" t="s">
        <v>153</v>
      </c>
      <c r="E24" s="118" t="s">
        <v>2</v>
      </c>
      <c r="F24" s="118" t="s">
        <v>3</v>
      </c>
      <c r="G24" s="118" t="s">
        <v>4</v>
      </c>
      <c r="H24" s="118" t="s">
        <v>5</v>
      </c>
      <c r="I24" s="118" t="s">
        <v>6</v>
      </c>
      <c r="J24" s="118" t="s">
        <v>170</v>
      </c>
      <c r="K24" s="118" t="s">
        <v>169</v>
      </c>
    </row>
    <row r="25" spans="1:16">
      <c r="A25" s="95"/>
      <c r="B25" s="95"/>
      <c r="C25" s="95"/>
      <c r="D25" s="95"/>
      <c r="E25" s="93"/>
      <c r="F25" s="93"/>
      <c r="G25" s="93"/>
      <c r="H25" s="93"/>
      <c r="I25" s="93"/>
      <c r="J25" s="93"/>
      <c r="K25" s="93"/>
    </row>
    <row r="26" spans="1:16">
      <c r="A26" s="95" t="s">
        <v>126</v>
      </c>
      <c r="B26" s="95"/>
      <c r="C26" s="95"/>
      <c r="D26" s="95"/>
      <c r="E26" s="93"/>
      <c r="F26" s="93"/>
      <c r="G26" s="93"/>
      <c r="H26" s="93"/>
      <c r="I26" s="93"/>
      <c r="J26" s="93"/>
      <c r="K26" s="93"/>
      <c r="P26" s="92"/>
    </row>
    <row r="27" spans="1:16">
      <c r="A27" s="193" t="s">
        <v>449</v>
      </c>
      <c r="B27" s="107"/>
      <c r="C27" s="296"/>
      <c r="D27" s="296"/>
      <c r="E27" s="94"/>
      <c r="F27" s="94"/>
      <c r="G27" s="94"/>
      <c r="H27" s="94"/>
      <c r="I27" s="94"/>
      <c r="J27" s="94"/>
      <c r="K27" s="94"/>
      <c r="P27" s="92"/>
    </row>
    <row r="28" spans="1:16">
      <c r="A28" s="107" t="str">
        <f>B8</f>
        <v>Tractor</v>
      </c>
      <c r="B28" s="107"/>
      <c r="C28" s="296">
        <f>H8</f>
        <v>0</v>
      </c>
      <c r="D28" s="296">
        <f>K8</f>
        <v>3000</v>
      </c>
      <c r="E28" s="94">
        <f>$C$28*$D$28*E23</f>
        <v>0</v>
      </c>
      <c r="F28" s="94">
        <f t="shared" ref="F28:K28" si="8">$C$28*$D$28*F23</f>
        <v>0</v>
      </c>
      <c r="G28" s="94">
        <f t="shared" si="8"/>
        <v>0</v>
      </c>
      <c r="H28" s="94">
        <f t="shared" si="8"/>
        <v>0</v>
      </c>
      <c r="I28" s="94">
        <f t="shared" si="8"/>
        <v>0</v>
      </c>
      <c r="J28" s="94">
        <f t="shared" si="8"/>
        <v>0</v>
      </c>
      <c r="K28" s="94">
        <f t="shared" si="8"/>
        <v>0</v>
      </c>
      <c r="P28" s="92"/>
    </row>
    <row r="29" spans="1:16">
      <c r="A29" s="107" t="str">
        <f>B9</f>
        <v>Trailor / Trolly</v>
      </c>
      <c r="B29" s="107"/>
      <c r="C29" s="296">
        <f t="shared" ref="C29:C38" si="9">H9</f>
        <v>720</v>
      </c>
      <c r="D29" s="296">
        <f>K9</f>
        <v>1200</v>
      </c>
      <c r="E29" s="94">
        <f>$C$29*$D$29*E23</f>
        <v>864000</v>
      </c>
      <c r="F29" s="94">
        <f t="shared" ref="F29:K29" si="10">$C$29*$D$29*F23</f>
        <v>907200</v>
      </c>
      <c r="G29" s="94">
        <f t="shared" si="10"/>
        <v>952560</v>
      </c>
      <c r="H29" s="94">
        <f t="shared" si="10"/>
        <v>1000188.0000000001</v>
      </c>
      <c r="I29" s="94">
        <f t="shared" si="10"/>
        <v>1050197.4000000001</v>
      </c>
      <c r="J29" s="94">
        <f t="shared" si="10"/>
        <v>1102707.2700000003</v>
      </c>
      <c r="K29" s="94">
        <f t="shared" si="10"/>
        <v>1157842.6335000005</v>
      </c>
      <c r="P29" s="92"/>
    </row>
    <row r="30" spans="1:16">
      <c r="A30" s="107" t="str">
        <f>B10</f>
        <v>M G Plough</v>
      </c>
      <c r="B30" s="107"/>
      <c r="C30" s="296">
        <f t="shared" si="9"/>
        <v>360</v>
      </c>
      <c r="D30" s="296">
        <f>K10</f>
        <v>1800</v>
      </c>
      <c r="E30" s="94">
        <f>$C$30*$D$30*E23</f>
        <v>648000</v>
      </c>
      <c r="F30" s="94">
        <f t="shared" ref="F30:K30" si="11">$C$30*$D$30*F23</f>
        <v>680400</v>
      </c>
      <c r="G30" s="94">
        <f t="shared" si="11"/>
        <v>714420</v>
      </c>
      <c r="H30" s="94">
        <f t="shared" si="11"/>
        <v>750141.00000000012</v>
      </c>
      <c r="I30" s="94">
        <f t="shared" si="11"/>
        <v>787648.05000000016</v>
      </c>
      <c r="J30" s="94">
        <f t="shared" si="11"/>
        <v>827030.45250000025</v>
      </c>
      <c r="K30" s="94">
        <f t="shared" si="11"/>
        <v>868381.97512500023</v>
      </c>
      <c r="P30" s="92"/>
    </row>
    <row r="31" spans="1:16">
      <c r="A31" s="107" t="str">
        <f>B11</f>
        <v>Boom Sprayer</v>
      </c>
      <c r="B31" s="107"/>
      <c r="C31" s="296">
        <f t="shared" si="9"/>
        <v>720</v>
      </c>
      <c r="D31" s="296">
        <f>K11</f>
        <v>800</v>
      </c>
      <c r="E31" s="94">
        <f>$C$31*$D$31*E23</f>
        <v>576000</v>
      </c>
      <c r="F31" s="94">
        <f t="shared" ref="F31:K31" si="12">$C$31*$D$31*F23</f>
        <v>604800</v>
      </c>
      <c r="G31" s="94">
        <f t="shared" si="12"/>
        <v>635040</v>
      </c>
      <c r="H31" s="94">
        <f t="shared" si="12"/>
        <v>666792.00000000012</v>
      </c>
      <c r="I31" s="94">
        <f t="shared" si="12"/>
        <v>700131.60000000009</v>
      </c>
      <c r="J31" s="94">
        <f t="shared" si="12"/>
        <v>735138.18000000017</v>
      </c>
      <c r="K31" s="94">
        <f t="shared" si="12"/>
        <v>771895.08900000027</v>
      </c>
      <c r="P31" s="92"/>
    </row>
    <row r="32" spans="1:16">
      <c r="A32" s="107" t="str">
        <f>B12</f>
        <v>BBF Planter</v>
      </c>
      <c r="B32" s="107"/>
      <c r="C32" s="296">
        <f t="shared" si="9"/>
        <v>100</v>
      </c>
      <c r="D32" s="296">
        <f>K12</f>
        <v>3000</v>
      </c>
      <c r="E32" s="94">
        <f>$C$32*$D$32*E23</f>
        <v>300000</v>
      </c>
      <c r="F32" s="94">
        <f t="shared" ref="F32:K32" si="13">$C$32*$D$32*F23</f>
        <v>315000</v>
      </c>
      <c r="G32" s="94">
        <f t="shared" si="13"/>
        <v>330750</v>
      </c>
      <c r="H32" s="94">
        <f t="shared" si="13"/>
        <v>347287.50000000006</v>
      </c>
      <c r="I32" s="94">
        <f t="shared" si="13"/>
        <v>364651.87500000006</v>
      </c>
      <c r="J32" s="94">
        <f t="shared" si="13"/>
        <v>382884.46875000012</v>
      </c>
      <c r="K32" s="94">
        <f t="shared" si="13"/>
        <v>402028.69218750013</v>
      </c>
      <c r="P32" s="92"/>
    </row>
    <row r="33" spans="1:16">
      <c r="A33" s="107" t="s">
        <v>707</v>
      </c>
      <c r="B33" s="107"/>
      <c r="C33" s="296">
        <f t="shared" si="9"/>
        <v>200</v>
      </c>
      <c r="D33" s="296">
        <f t="shared" ref="D33:D38" si="14">K13</f>
        <v>1400</v>
      </c>
      <c r="E33" s="94">
        <f>$C$33*$D$33*E23</f>
        <v>280000</v>
      </c>
      <c r="F33" s="94">
        <f t="shared" ref="F33:K33" si="15">$C$33*$D$33*F23</f>
        <v>294000</v>
      </c>
      <c r="G33" s="94">
        <f t="shared" si="15"/>
        <v>308700</v>
      </c>
      <c r="H33" s="94">
        <f t="shared" si="15"/>
        <v>324135.00000000006</v>
      </c>
      <c r="I33" s="94">
        <f t="shared" si="15"/>
        <v>340341.75000000006</v>
      </c>
      <c r="J33" s="94">
        <f t="shared" si="15"/>
        <v>357358.83750000008</v>
      </c>
      <c r="K33" s="94">
        <f t="shared" si="15"/>
        <v>375226.7793750001</v>
      </c>
      <c r="P33" s="92"/>
    </row>
    <row r="34" spans="1:16">
      <c r="A34" s="107" t="s">
        <v>708</v>
      </c>
      <c r="B34" s="107"/>
      <c r="C34" s="296">
        <f>H14</f>
        <v>300</v>
      </c>
      <c r="D34" s="296">
        <f t="shared" si="14"/>
        <v>1400</v>
      </c>
      <c r="E34" s="94">
        <f>$C$34*$D$34*E23</f>
        <v>420000</v>
      </c>
      <c r="F34" s="94">
        <f t="shared" ref="F34:K34" si="16">$C$34*$D$34*F23</f>
        <v>441000</v>
      </c>
      <c r="G34" s="94">
        <f t="shared" si="16"/>
        <v>463050</v>
      </c>
      <c r="H34" s="94">
        <f t="shared" si="16"/>
        <v>486202.50000000006</v>
      </c>
      <c r="I34" s="94">
        <f t="shared" si="16"/>
        <v>510512.62500000012</v>
      </c>
      <c r="J34" s="94">
        <f t="shared" si="16"/>
        <v>536038.25625000009</v>
      </c>
      <c r="K34" s="94">
        <f t="shared" si="16"/>
        <v>562840.16906250012</v>
      </c>
      <c r="P34" s="92"/>
    </row>
    <row r="35" spans="1:16">
      <c r="A35" s="107"/>
      <c r="B35" s="107"/>
      <c r="C35" s="296">
        <f t="shared" si="9"/>
        <v>0</v>
      </c>
      <c r="D35" s="296">
        <f t="shared" si="14"/>
        <v>3000</v>
      </c>
      <c r="E35" s="94">
        <f>$C$35*$D$35*E23</f>
        <v>0</v>
      </c>
      <c r="F35" s="94">
        <f t="shared" ref="F35:K35" si="17">$C$35*$D$35*F23</f>
        <v>0</v>
      </c>
      <c r="G35" s="94">
        <f t="shared" si="17"/>
        <v>0</v>
      </c>
      <c r="H35" s="94">
        <f t="shared" si="17"/>
        <v>0</v>
      </c>
      <c r="I35" s="94">
        <f t="shared" si="17"/>
        <v>0</v>
      </c>
      <c r="J35" s="94">
        <f t="shared" si="17"/>
        <v>0</v>
      </c>
      <c r="K35" s="94">
        <f t="shared" si="17"/>
        <v>0</v>
      </c>
      <c r="P35" s="92"/>
    </row>
    <row r="36" spans="1:16">
      <c r="A36" s="107"/>
      <c r="B36" s="107"/>
      <c r="C36" s="296">
        <f t="shared" si="9"/>
        <v>0</v>
      </c>
      <c r="D36" s="296">
        <f t="shared" si="14"/>
        <v>3000</v>
      </c>
      <c r="E36" s="94">
        <f>$C$36*$D$36*E23</f>
        <v>0</v>
      </c>
      <c r="F36" s="94">
        <f t="shared" ref="F36:K36" si="18">$C$36*$D$36*F23</f>
        <v>0</v>
      </c>
      <c r="G36" s="94">
        <f t="shared" si="18"/>
        <v>0</v>
      </c>
      <c r="H36" s="94">
        <f t="shared" si="18"/>
        <v>0</v>
      </c>
      <c r="I36" s="94">
        <f t="shared" si="18"/>
        <v>0</v>
      </c>
      <c r="J36" s="94">
        <f t="shared" si="18"/>
        <v>0</v>
      </c>
      <c r="K36" s="94">
        <f t="shared" si="18"/>
        <v>0</v>
      </c>
      <c r="P36" s="92"/>
    </row>
    <row r="37" spans="1:16">
      <c r="A37" s="107"/>
      <c r="B37" s="107"/>
      <c r="C37" s="296">
        <f t="shared" si="9"/>
        <v>0</v>
      </c>
      <c r="D37" s="296">
        <f t="shared" si="14"/>
        <v>0</v>
      </c>
      <c r="E37" s="94">
        <f>$C$37*$D$37*E23</f>
        <v>0</v>
      </c>
      <c r="F37" s="94">
        <f t="shared" ref="F37:K37" si="19">$C$37*$D$37*F23</f>
        <v>0</v>
      </c>
      <c r="G37" s="94">
        <f t="shared" si="19"/>
        <v>0</v>
      </c>
      <c r="H37" s="94">
        <f t="shared" si="19"/>
        <v>0</v>
      </c>
      <c r="I37" s="94">
        <f t="shared" si="19"/>
        <v>0</v>
      </c>
      <c r="J37" s="94">
        <f t="shared" si="19"/>
        <v>0</v>
      </c>
      <c r="K37" s="94">
        <f t="shared" si="19"/>
        <v>0</v>
      </c>
      <c r="P37" s="92"/>
    </row>
    <row r="38" spans="1:16">
      <c r="A38" s="95"/>
      <c r="B38" s="95"/>
      <c r="C38" s="296">
        <f t="shared" si="9"/>
        <v>0</v>
      </c>
      <c r="D38" s="296">
        <f t="shared" si="14"/>
        <v>0</v>
      </c>
      <c r="E38" s="94">
        <f>$C$38*$D$38*E23</f>
        <v>0</v>
      </c>
      <c r="F38" s="94">
        <f t="shared" ref="F38:K38" si="20">$C$38*$D$38*F23</f>
        <v>0</v>
      </c>
      <c r="G38" s="94">
        <f t="shared" si="20"/>
        <v>0</v>
      </c>
      <c r="H38" s="94">
        <f t="shared" si="20"/>
        <v>0</v>
      </c>
      <c r="I38" s="94">
        <f t="shared" si="20"/>
        <v>0</v>
      </c>
      <c r="J38" s="94">
        <f t="shared" si="20"/>
        <v>0</v>
      </c>
      <c r="K38" s="94">
        <f t="shared" si="20"/>
        <v>0</v>
      </c>
      <c r="P38" s="92"/>
    </row>
    <row r="39" spans="1:16">
      <c r="A39" s="95" t="s">
        <v>143</v>
      </c>
      <c r="B39" s="95"/>
      <c r="C39" s="99"/>
      <c r="D39" s="99"/>
      <c r="E39" s="94">
        <f>SUM(E28:E38)</f>
        <v>3088000</v>
      </c>
      <c r="F39" s="94">
        <f t="shared" ref="F39:K39" si="21">SUM(F28:F38)</f>
        <v>3242400</v>
      </c>
      <c r="G39" s="94">
        <f t="shared" si="21"/>
        <v>3404520</v>
      </c>
      <c r="H39" s="94">
        <f t="shared" si="21"/>
        <v>3574746.0000000005</v>
      </c>
      <c r="I39" s="94">
        <f t="shared" si="21"/>
        <v>3753483.3000000003</v>
      </c>
      <c r="J39" s="94">
        <f t="shared" si="21"/>
        <v>3941157.4650000008</v>
      </c>
      <c r="K39" s="94">
        <f t="shared" si="21"/>
        <v>4138215.338250001</v>
      </c>
      <c r="P39" s="92"/>
    </row>
    <row r="40" spans="1:16">
      <c r="A40" s="93"/>
      <c r="B40" s="93"/>
      <c r="C40" s="97"/>
      <c r="D40" s="97"/>
      <c r="E40" s="94"/>
      <c r="F40" s="94"/>
      <c r="G40" s="94"/>
      <c r="H40" s="94"/>
      <c r="I40" s="94"/>
      <c r="J40" s="94"/>
      <c r="K40" s="94"/>
      <c r="P40" s="92"/>
    </row>
    <row r="41" spans="1:16">
      <c r="A41" s="95" t="s">
        <v>142</v>
      </c>
      <c r="B41" s="95"/>
      <c r="C41" s="99"/>
      <c r="D41" s="99"/>
      <c r="E41" s="94"/>
      <c r="F41" s="94"/>
      <c r="G41" s="94"/>
      <c r="H41" s="94"/>
      <c r="I41" s="94"/>
      <c r="J41" s="94"/>
      <c r="K41" s="94"/>
      <c r="P41" s="92"/>
    </row>
    <row r="42" spans="1:16">
      <c r="A42" s="95" t="s">
        <v>308</v>
      </c>
      <c r="B42" s="95"/>
      <c r="C42" s="99"/>
      <c r="D42" s="99"/>
      <c r="E42" s="94"/>
      <c r="F42" s="94"/>
      <c r="G42" s="94"/>
      <c r="H42" s="94"/>
      <c r="I42" s="94"/>
      <c r="J42" s="94"/>
      <c r="K42" s="94"/>
    </row>
    <row r="43" spans="1:16">
      <c r="A43" s="93" t="s">
        <v>309</v>
      </c>
      <c r="B43" s="93" t="s">
        <v>446</v>
      </c>
      <c r="C43" s="97">
        <f>SUM(J8:J17)</f>
        <v>10140</v>
      </c>
      <c r="D43" s="230">
        <v>100</v>
      </c>
      <c r="E43" s="94">
        <f>$C$43*$D$43*E23</f>
        <v>1014000</v>
      </c>
      <c r="F43" s="94">
        <f t="shared" ref="F43:K43" si="22">$C$43*$D$43*F23</f>
        <v>1064700</v>
      </c>
      <c r="G43" s="94">
        <f t="shared" si="22"/>
        <v>1117935</v>
      </c>
      <c r="H43" s="94">
        <f t="shared" si="22"/>
        <v>1173831.7500000002</v>
      </c>
      <c r="I43" s="94">
        <f t="shared" si="22"/>
        <v>1232523.3375000001</v>
      </c>
      <c r="J43" s="94">
        <f t="shared" si="22"/>
        <v>1294149.5043750003</v>
      </c>
      <c r="K43" s="94">
        <f t="shared" si="22"/>
        <v>1358856.9795937503</v>
      </c>
    </row>
    <row r="44" spans="1:16">
      <c r="A44" s="93" t="s">
        <v>310</v>
      </c>
      <c r="B44" s="93" t="s">
        <v>448</v>
      </c>
      <c r="C44" s="97">
        <f>SUM(M8:M17)</f>
        <v>730</v>
      </c>
      <c r="D44" s="230">
        <v>300</v>
      </c>
      <c r="E44" s="94">
        <f>$C$44*$D$44*E23</f>
        <v>219000</v>
      </c>
      <c r="F44" s="94">
        <f t="shared" ref="F44:K44" si="23">$C$44*$D$44*F23</f>
        <v>229950</v>
      </c>
      <c r="G44" s="94">
        <f t="shared" si="23"/>
        <v>241447.5</v>
      </c>
      <c r="H44" s="94">
        <f t="shared" si="23"/>
        <v>253519.87500000003</v>
      </c>
      <c r="I44" s="94">
        <f t="shared" si="23"/>
        <v>266195.86875000002</v>
      </c>
      <c r="J44" s="94">
        <f t="shared" si="23"/>
        <v>279505.6621875001</v>
      </c>
      <c r="K44" s="94">
        <f t="shared" si="23"/>
        <v>293480.94529687508</v>
      </c>
    </row>
    <row r="45" spans="1:16">
      <c r="A45" s="93"/>
      <c r="B45" s="93"/>
      <c r="C45" s="230"/>
      <c r="D45" s="230"/>
      <c r="E45" s="94"/>
      <c r="F45" s="94"/>
      <c r="G45" s="94"/>
      <c r="H45" s="94"/>
      <c r="I45" s="94"/>
      <c r="J45" s="94"/>
      <c r="K45" s="94"/>
    </row>
    <row r="46" spans="1:16">
      <c r="A46" s="93"/>
      <c r="B46" s="93"/>
      <c r="C46" s="230"/>
      <c r="D46" s="230"/>
      <c r="E46" s="94"/>
      <c r="F46" s="94"/>
      <c r="G46" s="94"/>
      <c r="H46" s="94"/>
      <c r="I46" s="94"/>
      <c r="J46" s="94"/>
      <c r="K46" s="94"/>
    </row>
    <row r="47" spans="1:16">
      <c r="A47" s="93"/>
      <c r="B47" s="93"/>
      <c r="C47" s="230"/>
      <c r="D47" s="230"/>
      <c r="E47" s="94"/>
      <c r="F47" s="94"/>
      <c r="G47" s="94"/>
      <c r="H47" s="94"/>
      <c r="I47" s="94"/>
      <c r="J47" s="94"/>
      <c r="K47" s="94"/>
    </row>
    <row r="48" spans="1:16">
      <c r="A48" s="93"/>
      <c r="B48" s="93"/>
      <c r="C48" s="230"/>
      <c r="D48" s="230"/>
      <c r="E48" s="94"/>
      <c r="F48" s="94"/>
      <c r="G48" s="94"/>
      <c r="H48" s="94"/>
      <c r="I48" s="94"/>
      <c r="J48" s="94"/>
      <c r="K48" s="94"/>
    </row>
    <row r="49" spans="1:12">
      <c r="A49" s="95" t="s">
        <v>324</v>
      </c>
      <c r="B49" s="95"/>
      <c r="C49" s="235"/>
      <c r="D49" s="235"/>
      <c r="E49" s="113">
        <f>SUM(E43:E48)</f>
        <v>1233000</v>
      </c>
      <c r="F49" s="113">
        <f t="shared" ref="F49:K49" si="24">SUM(F43:F48)</f>
        <v>1294650</v>
      </c>
      <c r="G49" s="113">
        <f t="shared" si="24"/>
        <v>1359382.5</v>
      </c>
      <c r="H49" s="113">
        <f t="shared" si="24"/>
        <v>1427351.6250000002</v>
      </c>
      <c r="I49" s="113">
        <f t="shared" si="24"/>
        <v>1498719.2062500003</v>
      </c>
      <c r="J49" s="113">
        <f t="shared" si="24"/>
        <v>1573655.1665625004</v>
      </c>
      <c r="K49" s="113">
        <f t="shared" si="24"/>
        <v>1652337.9248906253</v>
      </c>
    </row>
    <row r="50" spans="1:12">
      <c r="A50" s="95"/>
      <c r="B50" s="95"/>
      <c r="C50" s="235"/>
      <c r="D50" s="235"/>
      <c r="E50" s="113"/>
      <c r="F50" s="113"/>
      <c r="G50" s="113"/>
      <c r="H50" s="113"/>
      <c r="I50" s="113"/>
      <c r="J50" s="113"/>
      <c r="K50" s="113"/>
    </row>
    <row r="51" spans="1:12">
      <c r="A51" s="193" t="s">
        <v>311</v>
      </c>
      <c r="B51" s="193"/>
      <c r="C51" s="256"/>
      <c r="D51" s="256"/>
      <c r="E51" s="94"/>
      <c r="F51" s="94"/>
      <c r="G51" s="94"/>
      <c r="H51" s="94"/>
      <c r="I51" s="94"/>
      <c r="J51" s="94"/>
      <c r="K51" s="94"/>
    </row>
    <row r="52" spans="1:12">
      <c r="A52" s="107" t="s">
        <v>312</v>
      </c>
      <c r="B52" s="93" t="s">
        <v>395</v>
      </c>
      <c r="C52" s="256">
        <v>2</v>
      </c>
      <c r="D52" s="257">
        <v>8000</v>
      </c>
      <c r="E52" s="94">
        <f t="shared" ref="E52:K52" si="25">$C$52*$D$52*12*E23</f>
        <v>192000</v>
      </c>
      <c r="F52" s="94">
        <f t="shared" si="25"/>
        <v>201600</v>
      </c>
      <c r="G52" s="94">
        <f t="shared" si="25"/>
        <v>211680</v>
      </c>
      <c r="H52" s="94">
        <f t="shared" si="25"/>
        <v>222264.00000000003</v>
      </c>
      <c r="I52" s="94">
        <f t="shared" si="25"/>
        <v>233377.20000000004</v>
      </c>
      <c r="J52" s="94">
        <f t="shared" si="25"/>
        <v>245046.06000000006</v>
      </c>
      <c r="K52" s="94">
        <f t="shared" si="25"/>
        <v>257298.36300000007</v>
      </c>
    </row>
    <row r="53" spans="1:12">
      <c r="A53" s="93" t="s">
        <v>730</v>
      </c>
      <c r="B53" s="107"/>
      <c r="C53" s="256"/>
      <c r="D53" s="257"/>
      <c r="E53" s="94">
        <f>'2.Capex Details'!$G$32*0.02</f>
        <v>36010</v>
      </c>
      <c r="F53" s="94">
        <f>'2.Capex Details'!$G$32*0.02</f>
        <v>36010</v>
      </c>
      <c r="G53" s="94">
        <f>'2.Capex Details'!$G$32*0.03</f>
        <v>54015</v>
      </c>
      <c r="H53" s="94">
        <f>'2.Capex Details'!$G$32*0.03</f>
        <v>54015</v>
      </c>
      <c r="I53" s="94">
        <f>'2.Capex Details'!$G$32*0.04</f>
        <v>72020</v>
      </c>
      <c r="J53" s="94">
        <f>'2.Capex Details'!$G$32*0.04</f>
        <v>72020</v>
      </c>
      <c r="K53" s="94">
        <f>'2.Capex Details'!$G$32*0.05</f>
        <v>90025</v>
      </c>
    </row>
    <row r="54" spans="1:12">
      <c r="A54" s="107" t="s">
        <v>731</v>
      </c>
      <c r="B54" s="107"/>
      <c r="C54" s="256"/>
      <c r="D54" s="257"/>
      <c r="E54" s="94">
        <f>'2.Capex Details'!$G$32*0.05</f>
        <v>90025</v>
      </c>
      <c r="F54" s="94">
        <f>'2.Capex Details'!$G$32*0.04</f>
        <v>72020</v>
      </c>
      <c r="G54" s="94">
        <f>'2.Capex Details'!$G$32*0.04</f>
        <v>72020</v>
      </c>
      <c r="H54" s="94">
        <f>'2.Capex Details'!$G$32*0.03</f>
        <v>54015</v>
      </c>
      <c r="I54" s="94">
        <f>'2.Capex Details'!$G$32*0.03</f>
        <v>54015</v>
      </c>
      <c r="J54" s="94">
        <f>'2.Capex Details'!$G$32*0.02</f>
        <v>36010</v>
      </c>
      <c r="K54" s="94">
        <f>'2.Capex Details'!$G$32*0.02</f>
        <v>36010</v>
      </c>
    </row>
    <row r="55" spans="1:12">
      <c r="A55" s="107"/>
      <c r="B55" s="107"/>
      <c r="C55" s="256"/>
      <c r="D55" s="257"/>
      <c r="E55" s="94"/>
      <c r="F55" s="94"/>
      <c r="G55" s="94"/>
      <c r="H55" s="94"/>
      <c r="I55" s="94"/>
      <c r="J55" s="94"/>
      <c r="K55" s="94"/>
    </row>
    <row r="56" spans="1:12">
      <c r="A56" s="95" t="s">
        <v>328</v>
      </c>
      <c r="B56" s="95"/>
      <c r="C56" s="95"/>
      <c r="D56" s="95"/>
      <c r="E56" s="113">
        <f>SUM(E52:E55)</f>
        <v>318035</v>
      </c>
      <c r="F56" s="113">
        <f t="shared" ref="F56:K56" si="26">SUM(F52:F55)</f>
        <v>309630</v>
      </c>
      <c r="G56" s="113">
        <f t="shared" si="26"/>
        <v>337715</v>
      </c>
      <c r="H56" s="113">
        <f t="shared" si="26"/>
        <v>330294</v>
      </c>
      <c r="I56" s="113">
        <f t="shared" si="26"/>
        <v>359412.20000000007</v>
      </c>
      <c r="J56" s="113">
        <f t="shared" si="26"/>
        <v>353076.06000000006</v>
      </c>
      <c r="K56" s="113">
        <f t="shared" si="26"/>
        <v>383333.36300000007</v>
      </c>
    </row>
    <row r="57" spans="1:12">
      <c r="A57" s="95" t="s">
        <v>129</v>
      </c>
      <c r="B57" s="95"/>
      <c r="C57" s="95"/>
      <c r="D57" s="95"/>
      <c r="E57" s="113">
        <f>E49+E56</f>
        <v>1551035</v>
      </c>
      <c r="F57" s="113">
        <f t="shared" ref="F57:K57" si="27">F49+F56</f>
        <v>1604280</v>
      </c>
      <c r="G57" s="113">
        <f t="shared" si="27"/>
        <v>1697097.5</v>
      </c>
      <c r="H57" s="113">
        <f t="shared" si="27"/>
        <v>1757645.6250000002</v>
      </c>
      <c r="I57" s="113">
        <f t="shared" si="27"/>
        <v>1858131.4062500005</v>
      </c>
      <c r="J57" s="113">
        <f t="shared" si="27"/>
        <v>1926731.2265625005</v>
      </c>
      <c r="K57" s="113">
        <f t="shared" si="27"/>
        <v>2035671.2878906254</v>
      </c>
    </row>
    <row r="58" spans="1:12">
      <c r="A58" s="93"/>
      <c r="B58" s="93"/>
      <c r="C58" s="93"/>
      <c r="D58" s="93"/>
      <c r="E58" s="94"/>
      <c r="F58" s="94"/>
      <c r="G58" s="94"/>
      <c r="H58" s="94"/>
      <c r="I58" s="94"/>
      <c r="J58" s="94"/>
      <c r="K58" s="94"/>
    </row>
    <row r="59" spans="1:12">
      <c r="A59" s="95" t="s">
        <v>315</v>
      </c>
      <c r="B59" s="95"/>
      <c r="C59" s="95"/>
      <c r="D59" s="95"/>
      <c r="E59" s="113">
        <f t="shared" ref="E59:K59" si="28">E39-E57</f>
        <v>1536965</v>
      </c>
      <c r="F59" s="113">
        <f t="shared" si="28"/>
        <v>1638120</v>
      </c>
      <c r="G59" s="113">
        <f t="shared" si="28"/>
        <v>1707422.5</v>
      </c>
      <c r="H59" s="113">
        <f t="shared" si="28"/>
        <v>1817100.3750000002</v>
      </c>
      <c r="I59" s="113">
        <f t="shared" si="28"/>
        <v>1895351.8937499998</v>
      </c>
      <c r="J59" s="113">
        <f t="shared" si="28"/>
        <v>2014426.2384375003</v>
      </c>
      <c r="K59" s="113">
        <f t="shared" si="28"/>
        <v>2102544.0503593758</v>
      </c>
    </row>
    <row r="60" spans="1:12">
      <c r="A60" s="272"/>
      <c r="B60" s="272"/>
      <c r="C60" s="272"/>
      <c r="D60" s="272"/>
      <c r="E60" s="273"/>
      <c r="F60" s="273"/>
      <c r="G60" s="273"/>
      <c r="H60" s="273"/>
      <c r="I60" s="273"/>
      <c r="J60" s="273"/>
      <c r="K60" s="273"/>
    </row>
    <row r="61" spans="1:12">
      <c r="A61" s="92"/>
      <c r="B61" s="92"/>
      <c r="C61" s="272"/>
      <c r="D61" s="272"/>
      <c r="E61" s="273"/>
      <c r="F61" s="273"/>
      <c r="G61" s="273"/>
      <c r="H61" s="273"/>
      <c r="I61" s="273"/>
      <c r="J61" s="273"/>
      <c r="K61" s="273"/>
    </row>
    <row r="62" spans="1:12">
      <c r="A62" s="429" t="s">
        <v>426</v>
      </c>
      <c r="B62" s="429"/>
      <c r="C62" s="429"/>
      <c r="D62" s="429"/>
      <c r="E62" s="429"/>
      <c r="F62" s="429"/>
      <c r="G62" s="429"/>
      <c r="H62" s="429"/>
      <c r="I62" s="429"/>
      <c r="J62" s="429"/>
      <c r="K62" s="429"/>
      <c r="L62" s="429"/>
    </row>
    <row r="65" spans="1:2">
      <c r="A65" t="s">
        <v>541</v>
      </c>
    </row>
    <row r="66" spans="1:2">
      <c r="A66">
        <v>1</v>
      </c>
      <c r="B66" t="s">
        <v>552</v>
      </c>
    </row>
    <row r="67" spans="1:2">
      <c r="A67">
        <v>2</v>
      </c>
      <c r="B67" t="s">
        <v>553</v>
      </c>
    </row>
    <row r="68" spans="1:2">
      <c r="A68">
        <v>3</v>
      </c>
      <c r="B68" s="92" t="s">
        <v>605</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topLeftCell="A73" zoomScaleSheetLayoutView="100" workbookViewId="0">
      <selection activeCell="C269" sqref="C269"/>
    </sheetView>
  </sheetViews>
  <sheetFormatPr defaultRowHeight="14.4"/>
  <cols>
    <col min="1" max="1" width="41.109375" bestFit="1" customWidth="1"/>
    <col min="2" max="2" width="4.44140625" bestFit="1" customWidth="1"/>
    <col min="3" max="3" width="12.88671875" bestFit="1" customWidth="1"/>
    <col min="4" max="4" width="15.5546875" customWidth="1"/>
    <col min="5" max="5" width="19.44140625" bestFit="1" customWidth="1"/>
    <col min="6" max="6" width="14.6640625" customWidth="1"/>
    <col min="7" max="7" width="18" customWidth="1"/>
    <col min="8" max="8" width="15.109375" customWidth="1"/>
    <col min="9" max="10" width="16.44140625" bestFit="1" customWidth="1"/>
    <col min="12" max="12" width="27.109375" bestFit="1" customWidth="1"/>
    <col min="18" max="20" width="9.44140625" bestFit="1" customWidth="1"/>
    <col min="22" max="22" width="9.44140625" bestFit="1" customWidth="1"/>
  </cols>
  <sheetData>
    <row r="2" spans="1:12" ht="17.399999999999999">
      <c r="A2" s="428" t="s">
        <v>598</v>
      </c>
      <c r="B2" s="428"/>
      <c r="C2" s="428"/>
      <c r="D2" s="428"/>
      <c r="E2" s="428"/>
      <c r="F2" s="428"/>
      <c r="G2" s="428"/>
      <c r="H2" s="428"/>
      <c r="I2" s="428"/>
    </row>
    <row r="4" spans="1:12">
      <c r="A4" s="92"/>
      <c r="B4" s="92"/>
      <c r="C4" s="92"/>
      <c r="D4" s="92"/>
      <c r="E4" s="92"/>
      <c r="F4" s="92"/>
      <c r="G4" s="92"/>
      <c r="H4" s="92"/>
      <c r="I4" s="92"/>
    </row>
    <row r="5" spans="1:12">
      <c r="A5" s="92"/>
      <c r="B5" s="92"/>
      <c r="C5" s="92"/>
      <c r="D5" s="92"/>
      <c r="E5" s="92"/>
      <c r="F5" s="92"/>
      <c r="G5" s="92"/>
      <c r="H5" s="92"/>
      <c r="I5" s="92"/>
    </row>
    <row r="6" spans="1:12">
      <c r="A6" s="146" t="s">
        <v>127</v>
      </c>
      <c r="B6" s="146"/>
      <c r="C6" s="118" t="s">
        <v>2</v>
      </c>
      <c r="D6" s="118" t="s">
        <v>3</v>
      </c>
      <c r="E6" s="118" t="s">
        <v>4</v>
      </c>
      <c r="F6" s="118" t="s">
        <v>5</v>
      </c>
      <c r="G6" s="118" t="s">
        <v>6</v>
      </c>
      <c r="H6" s="118" t="s">
        <v>170</v>
      </c>
      <c r="I6" s="118" t="s">
        <v>169</v>
      </c>
    </row>
    <row r="7" spans="1:12">
      <c r="A7" s="99" t="s">
        <v>555</v>
      </c>
      <c r="B7" s="97"/>
      <c r="C7" s="97"/>
      <c r="D7" s="97"/>
      <c r="E7" s="97"/>
      <c r="F7" s="97"/>
      <c r="G7" s="97"/>
      <c r="H7" s="97"/>
      <c r="I7" s="97"/>
    </row>
    <row r="8" spans="1:12">
      <c r="A8" s="99" t="s">
        <v>178</v>
      </c>
      <c r="B8" s="202"/>
      <c r="C8" s="255"/>
      <c r="D8" s="255"/>
      <c r="E8" s="255"/>
      <c r="F8" s="255"/>
      <c r="G8" s="255"/>
      <c r="H8" s="255"/>
      <c r="I8" s="255"/>
    </row>
    <row r="9" spans="1:12">
      <c r="A9" s="97" t="str">
        <f>'10.Grain Production details'!A92</f>
        <v>Soybean</v>
      </c>
      <c r="B9" s="202"/>
      <c r="C9" s="255">
        <f>'10.Grain Production details'!B92*$L$9</f>
        <v>464.64</v>
      </c>
      <c r="D9" s="255">
        <f>'10.Grain Production details'!C92*$L$9</f>
        <v>522.72</v>
      </c>
      <c r="E9" s="255">
        <f>'10.Grain Production details'!D92*$L$9</f>
        <v>580.80000000000007</v>
      </c>
      <c r="F9" s="255">
        <f>'10.Grain Production details'!E92*$L$9</f>
        <v>638.88000000000011</v>
      </c>
      <c r="G9" s="255">
        <f>'10.Grain Production details'!F92*$L$9</f>
        <v>696.96000000000015</v>
      </c>
      <c r="H9" s="255">
        <f>'10.Grain Production details'!G92*$L$9</f>
        <v>755.04000000000019</v>
      </c>
      <c r="I9" s="255">
        <f>'10.Grain Production details'!H92*$L$9</f>
        <v>813.12000000000035</v>
      </c>
      <c r="L9">
        <v>1</v>
      </c>
    </row>
    <row r="10" spans="1:12">
      <c r="A10" s="97" t="str">
        <f>'10.Grain Production details'!A93</f>
        <v>Red Gram/Tur</v>
      </c>
      <c r="B10" s="202"/>
      <c r="C10" s="255">
        <f>'10.Grain Production details'!B93*$L$9</f>
        <v>52.800000000000004</v>
      </c>
      <c r="D10" s="255">
        <f>'10.Grain Production details'!C93*$L$9</f>
        <v>59.4</v>
      </c>
      <c r="E10" s="255">
        <f>'10.Grain Production details'!D93*$L$9</f>
        <v>66</v>
      </c>
      <c r="F10" s="255">
        <f>'10.Grain Production details'!E93*$L$9</f>
        <v>72.600000000000009</v>
      </c>
      <c r="G10" s="255">
        <f>'10.Grain Production details'!F93*$L$9</f>
        <v>79.200000000000017</v>
      </c>
      <c r="H10" s="255">
        <f>'10.Grain Production details'!G93*$L$9</f>
        <v>85.800000000000011</v>
      </c>
      <c r="I10" s="255">
        <f>'10.Grain Production details'!H93*$L$9</f>
        <v>92.40000000000002</v>
      </c>
    </row>
    <row r="11" spans="1:12">
      <c r="A11" s="97" t="str">
        <f>'10.Grain Production details'!A94</f>
        <v>Paddy/Rice</v>
      </c>
      <c r="B11" s="202"/>
      <c r="C11" s="255">
        <f>'10.Grain Production details'!B94*$L$9</f>
        <v>0</v>
      </c>
      <c r="D11" s="255">
        <f>'10.Grain Production details'!C94*$L$9</f>
        <v>0</v>
      </c>
      <c r="E11" s="255">
        <f>'10.Grain Production details'!D94*$L$9</f>
        <v>0</v>
      </c>
      <c r="F11" s="255">
        <f>'10.Grain Production details'!E94*$L$9</f>
        <v>0</v>
      </c>
      <c r="G11" s="255">
        <f>'10.Grain Production details'!F94*$L$9</f>
        <v>0</v>
      </c>
      <c r="H11" s="255">
        <f>'10.Grain Production details'!G94*$L$9</f>
        <v>0</v>
      </c>
      <c r="I11" s="255">
        <f>'10.Grain Production details'!H94*$L$9</f>
        <v>0</v>
      </c>
    </row>
    <row r="12" spans="1:12">
      <c r="A12" s="97" t="str">
        <f>'10.Grain Production details'!A95</f>
        <v>Green Gram/ Moong</v>
      </c>
      <c r="B12" s="202"/>
      <c r="C12" s="255">
        <f>'10.Grain Production details'!B95*$L$9</f>
        <v>2.6400000000000006</v>
      </c>
      <c r="D12" s="255">
        <f>'10.Grain Production details'!C95*$L$9</f>
        <v>2.9700000000000006</v>
      </c>
      <c r="E12" s="255">
        <f>'10.Grain Production details'!D95*$L$9</f>
        <v>3.3000000000000007</v>
      </c>
      <c r="F12" s="255">
        <f>'10.Grain Production details'!E95*$L$9</f>
        <v>3.6300000000000012</v>
      </c>
      <c r="G12" s="255">
        <f>'10.Grain Production details'!F95*$L$9</f>
        <v>3.9600000000000013</v>
      </c>
      <c r="H12" s="255">
        <f>'10.Grain Production details'!G95*$L$9</f>
        <v>4.2900000000000018</v>
      </c>
      <c r="I12" s="255">
        <f>'10.Grain Production details'!H95*$L$9</f>
        <v>4.6200000000000019</v>
      </c>
    </row>
    <row r="13" spans="1:12">
      <c r="A13" s="97" t="str">
        <f>'10.Grain Production details'!A96</f>
        <v>Maize</v>
      </c>
      <c r="B13" s="202"/>
      <c r="C13" s="255">
        <f>'10.Grain Production details'!B96*$L$9</f>
        <v>0</v>
      </c>
      <c r="D13" s="255">
        <f>'10.Grain Production details'!C96*$L$9</f>
        <v>0</v>
      </c>
      <c r="E13" s="255">
        <f>'10.Grain Production details'!D96*$L$9</f>
        <v>0</v>
      </c>
      <c r="F13" s="255">
        <f>'10.Grain Production details'!E96*$L$9</f>
        <v>0</v>
      </c>
      <c r="G13" s="255">
        <f>'10.Grain Production details'!F96*$L$9</f>
        <v>0</v>
      </c>
      <c r="H13" s="255">
        <f>'10.Grain Production details'!G96*$L$9</f>
        <v>0</v>
      </c>
      <c r="I13" s="255">
        <f>'10.Grain Production details'!H96*$L$9</f>
        <v>0</v>
      </c>
    </row>
    <row r="14" spans="1:12">
      <c r="A14" s="97" t="str">
        <f>'10.Grain Production details'!A97</f>
        <v>Black Gram/Udid</v>
      </c>
      <c r="B14" s="202"/>
      <c r="C14" s="255">
        <f>'10.Grain Production details'!B97*$L$9</f>
        <v>0</v>
      </c>
      <c r="D14" s="255">
        <f>'10.Grain Production details'!C97*$L$9</f>
        <v>0</v>
      </c>
      <c r="E14" s="255">
        <f>'10.Grain Production details'!D97*$L$9</f>
        <v>0</v>
      </c>
      <c r="F14" s="255">
        <f>'10.Grain Production details'!E97*$L$9</f>
        <v>0</v>
      </c>
      <c r="G14" s="255">
        <f>'10.Grain Production details'!F97*$L$9</f>
        <v>0</v>
      </c>
      <c r="H14" s="255">
        <f>'10.Grain Production details'!G97*$L$9</f>
        <v>0</v>
      </c>
      <c r="I14" s="255">
        <f>'10.Grain Production details'!H97*$L$9</f>
        <v>0</v>
      </c>
    </row>
    <row r="15" spans="1:12">
      <c r="A15" s="97" t="str">
        <f>'10.Grain Production details'!A98</f>
        <v>Bajra</v>
      </c>
      <c r="B15" s="202"/>
      <c r="C15" s="255">
        <f>'10.Grain Production details'!B98*$L$9</f>
        <v>0</v>
      </c>
      <c r="D15" s="255">
        <f>'10.Grain Production details'!C98*$L$9</f>
        <v>0</v>
      </c>
      <c r="E15" s="255">
        <f>'10.Grain Production details'!D98*$L$9</f>
        <v>0</v>
      </c>
      <c r="F15" s="255">
        <f>'10.Grain Production details'!E98*$L$9</f>
        <v>0</v>
      </c>
      <c r="G15" s="255">
        <f>'10.Grain Production details'!F98*$L$9</f>
        <v>0</v>
      </c>
      <c r="H15" s="255">
        <f>'10.Grain Production details'!G98*$L$9</f>
        <v>0</v>
      </c>
      <c r="I15" s="255">
        <f>'10.Grain Production details'!H98*$L$9</f>
        <v>0</v>
      </c>
    </row>
    <row r="16" spans="1:12">
      <c r="A16" s="97" t="str">
        <f>'10.Grain Production details'!A99</f>
        <v>Jawar</v>
      </c>
      <c r="B16" s="202"/>
      <c r="C16" s="255">
        <f>'10.Grain Production details'!B99*$L$9</f>
        <v>2.6400000000000006</v>
      </c>
      <c r="D16" s="255">
        <f>'10.Grain Production details'!C99*$L$9</f>
        <v>2.9700000000000006</v>
      </c>
      <c r="E16" s="255">
        <f>'10.Grain Production details'!D99*$L$9</f>
        <v>3.3000000000000007</v>
      </c>
      <c r="F16" s="255">
        <f>'10.Grain Production details'!E99*$L$9</f>
        <v>3.6300000000000012</v>
      </c>
      <c r="G16" s="255">
        <f>'10.Grain Production details'!F99*$L$9</f>
        <v>3.9600000000000013</v>
      </c>
      <c r="H16" s="255">
        <f>'10.Grain Production details'!G99*$L$9</f>
        <v>4.2900000000000018</v>
      </c>
      <c r="I16" s="255">
        <f>'10.Grain Production details'!H99*$L$9</f>
        <v>4.6200000000000019</v>
      </c>
    </row>
    <row r="17" spans="1:9">
      <c r="A17" s="99" t="s">
        <v>182</v>
      </c>
      <c r="B17" s="202"/>
      <c r="C17" s="255">
        <f>'10.Grain Production details'!B100*$L$9</f>
        <v>0</v>
      </c>
      <c r="D17" s="255"/>
      <c r="E17" s="255"/>
      <c r="F17" s="255"/>
      <c r="G17" s="255"/>
      <c r="H17" s="255"/>
      <c r="I17" s="255"/>
    </row>
    <row r="18" spans="1:9">
      <c r="A18" s="97" t="str">
        <f>'10.Grain Production details'!A101</f>
        <v>Wheat</v>
      </c>
      <c r="B18" s="202"/>
      <c r="C18" s="255">
        <f>'10.Grain Production details'!B101*$L$9</f>
        <v>3.1680000000000001</v>
      </c>
      <c r="D18" s="255">
        <f>'10.Grain Production details'!C101</f>
        <v>3.5640000000000001</v>
      </c>
      <c r="E18" s="255">
        <f>'10.Grain Production details'!D101</f>
        <v>3.96</v>
      </c>
      <c r="F18" s="255">
        <f>'10.Grain Production details'!E101</f>
        <v>4.3559999999999999</v>
      </c>
      <c r="G18" s="255">
        <f>'10.Grain Production details'!F101</f>
        <v>4.7519999999999998</v>
      </c>
      <c r="H18" s="255">
        <f>'10.Grain Production details'!G101</f>
        <v>5.1479999999999997</v>
      </c>
      <c r="I18" s="255">
        <f>'10.Grain Production details'!H101</f>
        <v>5.5440000000000005</v>
      </c>
    </row>
    <row r="19" spans="1:9">
      <c r="A19" s="97" t="str">
        <f>'10.Grain Production details'!A102</f>
        <v>Bengal Gram/Channa</v>
      </c>
      <c r="B19" s="202"/>
      <c r="C19" s="255">
        <f>'10.Grain Production details'!B102*$L$9</f>
        <v>126.72000000000001</v>
      </c>
      <c r="D19" s="255">
        <f>'10.Grain Production details'!C102*$L$9</f>
        <v>142.56</v>
      </c>
      <c r="E19" s="255">
        <f>'10.Grain Production details'!D102*$L$9</f>
        <v>158.4</v>
      </c>
      <c r="F19" s="255">
        <f>'10.Grain Production details'!E102*$L$9</f>
        <v>174.24</v>
      </c>
      <c r="G19" s="255">
        <f>'10.Grain Production details'!F102*$L$9</f>
        <v>190.08000000000004</v>
      </c>
      <c r="H19" s="255">
        <f>'10.Grain Production details'!G102*$L$9</f>
        <v>205.92000000000004</v>
      </c>
      <c r="I19" s="255">
        <f>'10.Grain Production details'!H102*$L$9</f>
        <v>221.76000000000008</v>
      </c>
    </row>
    <row r="20" spans="1:9">
      <c r="A20" s="97" t="str">
        <f>'10.Grain Production details'!A103</f>
        <v>Jawar</v>
      </c>
      <c r="B20" s="202"/>
      <c r="C20" s="255">
        <f>'10.Grain Production details'!B103*$L$9</f>
        <v>11.088000000000001</v>
      </c>
      <c r="D20" s="255">
        <f>'10.Grain Production details'!C103*$L$9</f>
        <v>12.474000000000002</v>
      </c>
      <c r="E20" s="255">
        <f>'10.Grain Production details'!D103*$L$9</f>
        <v>13.860000000000001</v>
      </c>
      <c r="F20" s="255">
        <f>'10.Grain Production details'!E103*$L$9</f>
        <v>15.246000000000002</v>
      </c>
      <c r="G20" s="255">
        <f>'10.Grain Production details'!F103*$L$9</f>
        <v>16.632000000000005</v>
      </c>
      <c r="H20" s="255">
        <f>'10.Grain Production details'!G103*$L$9</f>
        <v>18.018000000000008</v>
      </c>
      <c r="I20" s="255">
        <f>'10.Grain Production details'!H103*$L$9</f>
        <v>19.404000000000011</v>
      </c>
    </row>
    <row r="21" spans="1:9">
      <c r="A21" s="97" t="str">
        <f>'10.Grain Production details'!A104</f>
        <v>Maize</v>
      </c>
      <c r="B21" s="202"/>
      <c r="C21" s="255">
        <f>'10.Grain Production details'!B104*$L$9</f>
        <v>0</v>
      </c>
      <c r="D21" s="255">
        <f>'10.Grain Production details'!C104*$L$9</f>
        <v>0</v>
      </c>
      <c r="E21" s="255">
        <f>'10.Grain Production details'!D104*$L$9</f>
        <v>0</v>
      </c>
      <c r="F21" s="255">
        <f>'10.Grain Production details'!E104*$L$9</f>
        <v>0</v>
      </c>
      <c r="G21" s="255">
        <f>'10.Grain Production details'!F104*$L$9</f>
        <v>0</v>
      </c>
      <c r="H21" s="255">
        <f>'10.Grain Production details'!G104*$L$9</f>
        <v>0</v>
      </c>
      <c r="I21" s="255">
        <f>'10.Grain Production details'!H104*$L$9</f>
        <v>0</v>
      </c>
    </row>
    <row r="22" spans="1:9">
      <c r="A22" s="97" t="str">
        <f>'10.Grain Production details'!A105</f>
        <v>Safflower</v>
      </c>
      <c r="B22" s="202"/>
      <c r="C22" s="255">
        <f>'10.Grain Production details'!B105*$L$9</f>
        <v>1.5840000000000001</v>
      </c>
      <c r="D22" s="255">
        <f>'10.Grain Production details'!C105*$L$9</f>
        <v>1.782</v>
      </c>
      <c r="E22" s="255">
        <f>'10.Grain Production details'!D105*$L$9</f>
        <v>1.98</v>
      </c>
      <c r="F22" s="255">
        <f>'10.Grain Production details'!E105*$L$9</f>
        <v>2.1779999999999999</v>
      </c>
      <c r="G22" s="255">
        <f>'10.Grain Production details'!F105*$L$9</f>
        <v>2.3759999999999999</v>
      </c>
      <c r="H22" s="255">
        <f>'10.Grain Production details'!G105*$L$9</f>
        <v>2.5739999999999998</v>
      </c>
      <c r="I22" s="255">
        <f>'10.Grain Production details'!H105*$L$9</f>
        <v>2.7720000000000002</v>
      </c>
    </row>
    <row r="23" spans="1:9">
      <c r="A23" s="97">
        <f>'10.Grain Production details'!A106</f>
        <v>0</v>
      </c>
      <c r="B23" s="202"/>
      <c r="C23" s="255">
        <f>'10.Grain Production details'!B106</f>
        <v>0</v>
      </c>
      <c r="D23" s="255">
        <f>'10.Grain Production details'!C106</f>
        <v>0</v>
      </c>
      <c r="E23" s="255">
        <f>'10.Grain Production details'!D106</f>
        <v>0</v>
      </c>
      <c r="F23" s="255">
        <f>'10.Grain Production details'!E106</f>
        <v>0</v>
      </c>
      <c r="G23" s="255">
        <f>'10.Grain Production details'!F106</f>
        <v>0</v>
      </c>
      <c r="H23" s="255">
        <f>'10.Grain Production details'!G106</f>
        <v>0</v>
      </c>
      <c r="I23" s="255">
        <f>'10.Grain Production details'!H106</f>
        <v>0</v>
      </c>
    </row>
    <row r="24" spans="1:9">
      <c r="A24" s="97">
        <f>'10.Grain Production details'!A107</f>
        <v>0</v>
      </c>
      <c r="B24" s="202"/>
      <c r="C24" s="255">
        <f>'10.Grain Production details'!B107</f>
        <v>0</v>
      </c>
      <c r="D24" s="255">
        <f>'10.Grain Production details'!C107</f>
        <v>0</v>
      </c>
      <c r="E24" s="255">
        <f>'10.Grain Production details'!D107</f>
        <v>0</v>
      </c>
      <c r="F24" s="255">
        <f>'10.Grain Production details'!E107</f>
        <v>0</v>
      </c>
      <c r="G24" s="255">
        <f>'10.Grain Production details'!F107</f>
        <v>0</v>
      </c>
      <c r="H24" s="255">
        <f>'10.Grain Production details'!G107</f>
        <v>0</v>
      </c>
      <c r="I24" s="255">
        <f>'10.Grain Production details'!H107</f>
        <v>0</v>
      </c>
    </row>
    <row r="25" spans="1:9">
      <c r="A25" s="97">
        <f>'10.Grain Production details'!A108</f>
        <v>0</v>
      </c>
      <c r="B25" s="202"/>
      <c r="C25" s="255">
        <f>'10.Grain Production details'!B108</f>
        <v>0</v>
      </c>
      <c r="D25" s="255">
        <f>'10.Grain Production details'!C108</f>
        <v>0</v>
      </c>
      <c r="E25" s="255">
        <f>'10.Grain Production details'!D108</f>
        <v>0</v>
      </c>
      <c r="F25" s="255">
        <f>'10.Grain Production details'!E108</f>
        <v>0</v>
      </c>
      <c r="G25" s="255">
        <f>'10.Grain Production details'!F108</f>
        <v>0</v>
      </c>
      <c r="H25" s="255">
        <f>'10.Grain Production details'!G108</f>
        <v>0</v>
      </c>
      <c r="I25" s="255">
        <f>'10.Grain Production details'!H108</f>
        <v>0</v>
      </c>
    </row>
    <row r="26" spans="1:9">
      <c r="A26" s="99" t="str">
        <f>'10.Grain Production details'!A33</f>
        <v>Summer</v>
      </c>
      <c r="B26" s="202"/>
      <c r="C26" s="255"/>
      <c r="D26" s="255"/>
      <c r="E26" s="255"/>
      <c r="F26" s="255"/>
      <c r="G26" s="255"/>
      <c r="H26" s="255"/>
      <c r="I26" s="255"/>
    </row>
    <row r="27" spans="1:9">
      <c r="A27" s="97" t="str">
        <f>'10.Grain Production details'!A109</f>
        <v>Groundnut</v>
      </c>
      <c r="B27" s="202"/>
      <c r="C27" s="255">
        <f>'10.Grain Production details'!B110</f>
        <v>0</v>
      </c>
      <c r="D27" s="255">
        <f>'10.Grain Production details'!C110</f>
        <v>0</v>
      </c>
      <c r="E27" s="255">
        <f>'10.Grain Production details'!D110</f>
        <v>0</v>
      </c>
      <c r="F27" s="255">
        <f>'10.Grain Production details'!E110</f>
        <v>0</v>
      </c>
      <c r="G27" s="255">
        <f>'10.Grain Production details'!F110</f>
        <v>0</v>
      </c>
      <c r="H27" s="255">
        <f>'10.Grain Production details'!G110</f>
        <v>0</v>
      </c>
      <c r="I27" s="255">
        <f>'10.Grain Production details'!H110</f>
        <v>0</v>
      </c>
    </row>
    <row r="28" spans="1:9">
      <c r="A28" s="97">
        <f>'10.Grain Production details'!A110</f>
        <v>0</v>
      </c>
      <c r="B28" s="202"/>
      <c r="C28" s="255">
        <f>'10.Grain Production details'!B111</f>
        <v>0</v>
      </c>
      <c r="D28" s="255">
        <f>'10.Grain Production details'!C111</f>
        <v>0</v>
      </c>
      <c r="E28" s="255">
        <f>'10.Grain Production details'!D111</f>
        <v>0</v>
      </c>
      <c r="F28" s="255">
        <f>'10.Grain Production details'!E111</f>
        <v>0</v>
      </c>
      <c r="G28" s="255">
        <f>'10.Grain Production details'!F111</f>
        <v>0</v>
      </c>
      <c r="H28" s="255">
        <f>'10.Grain Production details'!G111</f>
        <v>0</v>
      </c>
      <c r="I28" s="255">
        <f>'10.Grain Production details'!H111</f>
        <v>0</v>
      </c>
    </row>
    <row r="29" spans="1:9">
      <c r="A29" s="97">
        <f>'10.Grain Production details'!A111</f>
        <v>0</v>
      </c>
      <c r="B29" s="202"/>
      <c r="C29" s="255">
        <f>'10.Grain Production details'!B112</f>
        <v>0</v>
      </c>
      <c r="D29" s="255">
        <f>'10.Grain Production details'!C112</f>
        <v>0</v>
      </c>
      <c r="E29" s="255">
        <f>'10.Grain Production details'!D112</f>
        <v>0</v>
      </c>
      <c r="F29" s="255">
        <f>'10.Grain Production details'!E112</f>
        <v>0</v>
      </c>
      <c r="G29" s="255">
        <f>'10.Grain Production details'!F112</f>
        <v>0</v>
      </c>
      <c r="H29" s="255">
        <f>'10.Grain Production details'!G112</f>
        <v>0</v>
      </c>
      <c r="I29" s="255">
        <f>'10.Grain Production details'!H112</f>
        <v>0</v>
      </c>
    </row>
    <row r="30" spans="1:9">
      <c r="A30" s="97">
        <f>'10.Grain Production details'!A112</f>
        <v>0</v>
      </c>
      <c r="B30" s="202"/>
      <c r="C30" s="255">
        <f>'10.Grain Production details'!B113</f>
        <v>0</v>
      </c>
      <c r="D30" s="255">
        <f>'10.Grain Production details'!C113</f>
        <v>0</v>
      </c>
      <c r="E30" s="255">
        <f>'10.Grain Production details'!D113</f>
        <v>0</v>
      </c>
      <c r="F30" s="255">
        <f>'10.Grain Production details'!E113</f>
        <v>0</v>
      </c>
      <c r="G30" s="255">
        <f>'10.Grain Production details'!F113</f>
        <v>0</v>
      </c>
      <c r="H30" s="255">
        <f>'10.Grain Production details'!G113</f>
        <v>0</v>
      </c>
      <c r="I30" s="255">
        <f>'10.Grain Production details'!H113</f>
        <v>0</v>
      </c>
    </row>
    <row r="31" spans="1:9">
      <c r="A31" s="97">
        <f>'10.Grain Production details'!A113</f>
        <v>0</v>
      </c>
      <c r="B31" s="202"/>
      <c r="C31" s="255">
        <f>'10.Grain Production details'!C114</f>
        <v>0</v>
      </c>
      <c r="D31" s="255">
        <f>'10.Grain Production details'!D114</f>
        <v>0</v>
      </c>
      <c r="E31" s="255">
        <f>'10.Grain Production details'!E114</f>
        <v>0</v>
      </c>
      <c r="F31" s="255">
        <f>'10.Grain Production details'!F114</f>
        <v>0</v>
      </c>
      <c r="G31" s="255">
        <f>'10.Grain Production details'!G114</f>
        <v>0</v>
      </c>
      <c r="H31" s="255">
        <f>'10.Grain Production details'!H114</f>
        <v>0</v>
      </c>
      <c r="I31" s="255">
        <f>'10.Grain Production details'!I114</f>
        <v>0</v>
      </c>
    </row>
    <row r="32" spans="1:9">
      <c r="A32" s="99" t="str">
        <f>'11.F&amp;V Crop Production details'!A1:H1</f>
        <v>Fruit  &amp; Vegetables Crop Production Details</v>
      </c>
      <c r="B32" s="202"/>
      <c r="C32" s="255"/>
      <c r="D32" s="255"/>
      <c r="E32" s="255"/>
      <c r="F32" s="255"/>
      <c r="G32" s="255"/>
      <c r="H32" s="255"/>
      <c r="I32" s="255"/>
    </row>
    <row r="33" spans="1:9">
      <c r="A33" s="97" t="str">
        <f>'11.F&amp;V Crop Production details'!A102</f>
        <v>Onion</v>
      </c>
      <c r="B33" s="202"/>
      <c r="C33" s="255">
        <f>'11.F&amp;V Crop Production details'!B102</f>
        <v>0</v>
      </c>
      <c r="D33" s="255">
        <f>'11.F&amp;V Crop Production details'!C102</f>
        <v>0</v>
      </c>
      <c r="E33" s="255">
        <f>'11.F&amp;V Crop Production details'!D102</f>
        <v>0</v>
      </c>
      <c r="F33" s="255">
        <f>'11.F&amp;V Crop Production details'!E102</f>
        <v>0</v>
      </c>
      <c r="G33" s="255">
        <f>'11.F&amp;V Crop Production details'!F102</f>
        <v>0</v>
      </c>
      <c r="H33" s="255">
        <f>'11.F&amp;V Crop Production details'!G102</f>
        <v>0</v>
      </c>
      <c r="I33" s="255">
        <f>'11.F&amp;V Crop Production details'!H102</f>
        <v>0</v>
      </c>
    </row>
    <row r="34" spans="1:9">
      <c r="A34" s="97" t="str">
        <f>'11.F&amp;V Crop Production details'!A103</f>
        <v>Tomato</v>
      </c>
      <c r="B34" s="202"/>
      <c r="C34" s="255">
        <f>'11.F&amp;V Crop Production details'!B103</f>
        <v>0</v>
      </c>
      <c r="D34" s="255">
        <f>'11.F&amp;V Crop Production details'!C103</f>
        <v>0</v>
      </c>
      <c r="E34" s="255">
        <f>'11.F&amp;V Crop Production details'!D103</f>
        <v>0</v>
      </c>
      <c r="F34" s="255">
        <f>'11.F&amp;V Crop Production details'!E103</f>
        <v>0</v>
      </c>
      <c r="G34" s="255">
        <f>'11.F&amp;V Crop Production details'!F103</f>
        <v>0</v>
      </c>
      <c r="H34" s="255">
        <f>'11.F&amp;V Crop Production details'!G103</f>
        <v>0</v>
      </c>
      <c r="I34" s="255">
        <f>'11.F&amp;V Crop Production details'!H103</f>
        <v>0</v>
      </c>
    </row>
    <row r="35" spans="1:9">
      <c r="A35" s="97" t="str">
        <f>'11.F&amp;V Crop Production details'!A104</f>
        <v>Okra</v>
      </c>
      <c r="B35" s="202"/>
      <c r="C35" s="255">
        <f>'11.F&amp;V Crop Production details'!B104</f>
        <v>0</v>
      </c>
      <c r="D35" s="255">
        <f>'11.F&amp;V Crop Production details'!C104</f>
        <v>0</v>
      </c>
      <c r="E35" s="255">
        <f>'11.F&amp;V Crop Production details'!D104</f>
        <v>0</v>
      </c>
      <c r="F35" s="255">
        <f>'11.F&amp;V Crop Production details'!E104</f>
        <v>0</v>
      </c>
      <c r="G35" s="255">
        <f>'11.F&amp;V Crop Production details'!F104</f>
        <v>0</v>
      </c>
      <c r="H35" s="255">
        <f>'11.F&amp;V Crop Production details'!G104</f>
        <v>0</v>
      </c>
      <c r="I35" s="255">
        <f>'11.F&amp;V Crop Production details'!H104</f>
        <v>0</v>
      </c>
    </row>
    <row r="36" spans="1:9">
      <c r="A36" s="97" t="str">
        <f>'11.F&amp;V Crop Production details'!A105</f>
        <v>Chilli</v>
      </c>
      <c r="B36" s="202"/>
      <c r="C36" s="255">
        <f>'11.F&amp;V Crop Production details'!B105</f>
        <v>0</v>
      </c>
      <c r="D36" s="255">
        <f>'11.F&amp;V Crop Production details'!C105</f>
        <v>0</v>
      </c>
      <c r="E36" s="255">
        <f>'11.F&amp;V Crop Production details'!D105</f>
        <v>0</v>
      </c>
      <c r="F36" s="255">
        <f>'11.F&amp;V Crop Production details'!E105</f>
        <v>0</v>
      </c>
      <c r="G36" s="255">
        <f>'11.F&amp;V Crop Production details'!F105</f>
        <v>0</v>
      </c>
      <c r="H36" s="255">
        <f>'11.F&amp;V Crop Production details'!G105</f>
        <v>0</v>
      </c>
      <c r="I36" s="255">
        <f>'11.F&amp;V Crop Production details'!H105</f>
        <v>0</v>
      </c>
    </row>
    <row r="37" spans="1:9">
      <c r="A37" s="97" t="str">
        <f>'11.F&amp;V Crop Production details'!A106</f>
        <v>Potato</v>
      </c>
      <c r="B37" s="202"/>
      <c r="C37" s="255">
        <f>'11.F&amp;V Crop Production details'!B106</f>
        <v>0</v>
      </c>
      <c r="D37" s="255">
        <f>'11.F&amp;V Crop Production details'!C106</f>
        <v>0</v>
      </c>
      <c r="E37" s="255">
        <f>'11.F&amp;V Crop Production details'!D106</f>
        <v>0</v>
      </c>
      <c r="F37" s="255">
        <f>'11.F&amp;V Crop Production details'!E106</f>
        <v>0</v>
      </c>
      <c r="G37" s="255">
        <f>'11.F&amp;V Crop Production details'!F106</f>
        <v>0</v>
      </c>
      <c r="H37" s="255">
        <f>'11.F&amp;V Crop Production details'!G106</f>
        <v>0</v>
      </c>
      <c r="I37" s="255">
        <f>'11.F&amp;V Crop Production details'!H106</f>
        <v>0</v>
      </c>
    </row>
    <row r="38" spans="1:9">
      <c r="A38" s="97">
        <f>'11.F&amp;V Crop Production details'!A107</f>
        <v>0</v>
      </c>
      <c r="B38" s="202"/>
      <c r="C38" s="255">
        <f>'11.F&amp;V Crop Production details'!B107</f>
        <v>0</v>
      </c>
      <c r="D38" s="255">
        <f>'11.F&amp;V Crop Production details'!C107</f>
        <v>0</v>
      </c>
      <c r="E38" s="255">
        <f>'11.F&amp;V Crop Production details'!D107</f>
        <v>0</v>
      </c>
      <c r="F38" s="255">
        <f>'11.F&amp;V Crop Production details'!E107</f>
        <v>0</v>
      </c>
      <c r="G38" s="255">
        <f>'11.F&amp;V Crop Production details'!F107</f>
        <v>0</v>
      </c>
      <c r="H38" s="255">
        <f>'11.F&amp;V Crop Production details'!G107</f>
        <v>0</v>
      </c>
      <c r="I38" s="255">
        <f>'11.F&amp;V Crop Production details'!H107</f>
        <v>0</v>
      </c>
    </row>
    <row r="39" spans="1:9">
      <c r="A39" s="97">
        <f>'11.F&amp;V Crop Production details'!A108</f>
        <v>0</v>
      </c>
      <c r="B39" s="202"/>
      <c r="C39" s="255">
        <f>'11.F&amp;V Crop Production details'!B108</f>
        <v>0</v>
      </c>
      <c r="D39" s="255">
        <f>'11.F&amp;V Crop Production details'!C108</f>
        <v>0</v>
      </c>
      <c r="E39" s="255">
        <f>'11.F&amp;V Crop Production details'!D108</f>
        <v>0</v>
      </c>
      <c r="F39" s="255">
        <f>'11.F&amp;V Crop Production details'!E108</f>
        <v>0</v>
      </c>
      <c r="G39" s="255">
        <f>'11.F&amp;V Crop Production details'!F108</f>
        <v>0</v>
      </c>
      <c r="H39" s="255">
        <f>'11.F&amp;V Crop Production details'!G108</f>
        <v>0</v>
      </c>
      <c r="I39" s="255">
        <f>'11.F&amp;V Crop Production details'!H108</f>
        <v>0</v>
      </c>
    </row>
    <row r="40" spans="1:9">
      <c r="A40" s="97">
        <f>'11.F&amp;V Crop Production details'!A109</f>
        <v>0</v>
      </c>
      <c r="B40" s="202"/>
      <c r="C40" s="255">
        <f>'11.F&amp;V Crop Production details'!B109</f>
        <v>0</v>
      </c>
      <c r="D40" s="255">
        <f>'11.F&amp;V Crop Production details'!C109</f>
        <v>0</v>
      </c>
      <c r="E40" s="255">
        <f>'11.F&amp;V Crop Production details'!D109</f>
        <v>0</v>
      </c>
      <c r="F40" s="255">
        <f>'11.F&amp;V Crop Production details'!E109</f>
        <v>0</v>
      </c>
      <c r="G40" s="255">
        <f>'11.F&amp;V Crop Production details'!F109</f>
        <v>0</v>
      </c>
      <c r="H40" s="255">
        <f>'11.F&amp;V Crop Production details'!G109</f>
        <v>0</v>
      </c>
      <c r="I40" s="255">
        <f>'11.F&amp;V Crop Production details'!H109</f>
        <v>0</v>
      </c>
    </row>
    <row r="41" spans="1:9">
      <c r="A41" s="97">
        <f>'11.F&amp;V Crop Production details'!A110</f>
        <v>0</v>
      </c>
      <c r="B41" s="202"/>
      <c r="C41" s="255">
        <f>'11.F&amp;V Crop Production details'!B110</f>
        <v>0</v>
      </c>
      <c r="D41" s="255">
        <f>'11.F&amp;V Crop Production details'!C110</f>
        <v>0</v>
      </c>
      <c r="E41" s="255">
        <f>'11.F&amp;V Crop Production details'!D110</f>
        <v>0</v>
      </c>
      <c r="F41" s="255">
        <f>'11.F&amp;V Crop Production details'!E110</f>
        <v>0</v>
      </c>
      <c r="G41" s="255">
        <f>'11.F&amp;V Crop Production details'!F110</f>
        <v>0</v>
      </c>
      <c r="H41" s="255">
        <f>'11.F&amp;V Crop Production details'!G110</f>
        <v>0</v>
      </c>
      <c r="I41" s="255">
        <f>'11.F&amp;V Crop Production details'!H110</f>
        <v>0</v>
      </c>
    </row>
    <row r="42" spans="1:9">
      <c r="A42" s="97" t="str">
        <f>'11.F&amp;V Crop Production details'!A111</f>
        <v>Onion</v>
      </c>
      <c r="B42" s="202"/>
      <c r="C42" s="255">
        <f>'11.F&amp;V Crop Production details'!B111</f>
        <v>0</v>
      </c>
      <c r="D42" s="255">
        <f>'11.F&amp;V Crop Production details'!C111</f>
        <v>0</v>
      </c>
      <c r="E42" s="255">
        <f>'11.F&amp;V Crop Production details'!D111</f>
        <v>0</v>
      </c>
      <c r="F42" s="255">
        <f>'11.F&amp;V Crop Production details'!E111</f>
        <v>0</v>
      </c>
      <c r="G42" s="255">
        <f>'11.F&amp;V Crop Production details'!F111</f>
        <v>0</v>
      </c>
      <c r="H42" s="255">
        <f>'11.F&amp;V Crop Production details'!G111</f>
        <v>0</v>
      </c>
      <c r="I42" s="255">
        <f>'11.F&amp;V Crop Production details'!H111</f>
        <v>0</v>
      </c>
    </row>
    <row r="43" spans="1:9">
      <c r="A43" s="97" t="str">
        <f>'11.F&amp;V Crop Production details'!A112</f>
        <v>Tomato</v>
      </c>
      <c r="B43" s="202"/>
      <c r="C43" s="255">
        <f>'11.F&amp;V Crop Production details'!B112</f>
        <v>0</v>
      </c>
      <c r="D43" s="255">
        <f>'11.F&amp;V Crop Production details'!C112</f>
        <v>0</v>
      </c>
      <c r="E43" s="255">
        <f>'11.F&amp;V Crop Production details'!D112</f>
        <v>0</v>
      </c>
      <c r="F43" s="255">
        <f>'11.F&amp;V Crop Production details'!E112</f>
        <v>0</v>
      </c>
      <c r="G43" s="255">
        <f>'11.F&amp;V Crop Production details'!F112</f>
        <v>0</v>
      </c>
      <c r="H43" s="255">
        <f>'11.F&amp;V Crop Production details'!G112</f>
        <v>0</v>
      </c>
      <c r="I43" s="255">
        <f>'11.F&amp;V Crop Production details'!H112</f>
        <v>0</v>
      </c>
    </row>
    <row r="44" spans="1:9">
      <c r="A44" s="97" t="str">
        <f>'11.F&amp;V Crop Production details'!A113</f>
        <v>Okra</v>
      </c>
      <c r="B44" s="202"/>
      <c r="C44" s="255">
        <f>'11.F&amp;V Crop Production details'!B113</f>
        <v>0</v>
      </c>
      <c r="D44" s="255">
        <f>'11.F&amp;V Crop Production details'!C113</f>
        <v>0</v>
      </c>
      <c r="E44" s="255">
        <f>'11.F&amp;V Crop Production details'!D113</f>
        <v>0</v>
      </c>
      <c r="F44" s="255">
        <f>'11.F&amp;V Crop Production details'!E113</f>
        <v>0</v>
      </c>
      <c r="G44" s="255">
        <f>'11.F&amp;V Crop Production details'!F113</f>
        <v>0</v>
      </c>
      <c r="H44" s="255">
        <f>'11.F&amp;V Crop Production details'!G113</f>
        <v>0</v>
      </c>
      <c r="I44" s="255">
        <f>'11.F&amp;V Crop Production details'!H113</f>
        <v>0</v>
      </c>
    </row>
    <row r="45" spans="1:9">
      <c r="A45" s="97" t="str">
        <f>'11.F&amp;V Crop Production details'!A114</f>
        <v>Chilli</v>
      </c>
      <c r="B45" s="202"/>
      <c r="C45" s="255">
        <f>'11.F&amp;V Crop Production details'!B114</f>
        <v>0</v>
      </c>
      <c r="D45" s="255">
        <f>'11.F&amp;V Crop Production details'!C114</f>
        <v>0</v>
      </c>
      <c r="E45" s="255">
        <f>'11.F&amp;V Crop Production details'!D114</f>
        <v>0</v>
      </c>
      <c r="F45" s="255">
        <f>'11.F&amp;V Crop Production details'!E114</f>
        <v>0</v>
      </c>
      <c r="G45" s="255">
        <f>'11.F&amp;V Crop Production details'!F114</f>
        <v>0</v>
      </c>
      <c r="H45" s="255">
        <f>'11.F&amp;V Crop Production details'!G114</f>
        <v>0</v>
      </c>
      <c r="I45" s="255">
        <f>'11.F&amp;V Crop Production details'!H114</f>
        <v>0</v>
      </c>
    </row>
    <row r="46" spans="1:9">
      <c r="A46" s="97" t="str">
        <f>'11.F&amp;V Crop Production details'!A115</f>
        <v>Brinjal</v>
      </c>
      <c r="B46" s="202"/>
      <c r="C46" s="255">
        <f>'11.F&amp;V Crop Production details'!B115</f>
        <v>0</v>
      </c>
      <c r="D46" s="255">
        <f>'11.F&amp;V Crop Production details'!C115</f>
        <v>0</v>
      </c>
      <c r="E46" s="255">
        <f>'11.F&amp;V Crop Production details'!D115</f>
        <v>0</v>
      </c>
      <c r="F46" s="255">
        <f>'11.F&amp;V Crop Production details'!E115</f>
        <v>0</v>
      </c>
      <c r="G46" s="255">
        <f>'11.F&amp;V Crop Production details'!F115</f>
        <v>0</v>
      </c>
      <c r="H46" s="255">
        <f>'11.F&amp;V Crop Production details'!G115</f>
        <v>0</v>
      </c>
      <c r="I46" s="255">
        <f>'11.F&amp;V Crop Production details'!H115</f>
        <v>0</v>
      </c>
    </row>
    <row r="47" spans="1:9">
      <c r="A47" s="97">
        <f>'11.F&amp;V Crop Production details'!A116</f>
        <v>0</v>
      </c>
      <c r="B47" s="202"/>
      <c r="C47" s="255">
        <f>'11.F&amp;V Crop Production details'!B116</f>
        <v>0</v>
      </c>
      <c r="D47" s="255">
        <f>'11.F&amp;V Crop Production details'!C116</f>
        <v>0</v>
      </c>
      <c r="E47" s="255">
        <f>'11.F&amp;V Crop Production details'!D116</f>
        <v>0</v>
      </c>
      <c r="F47" s="255">
        <f>'11.F&amp;V Crop Production details'!E116</f>
        <v>0</v>
      </c>
      <c r="G47" s="255">
        <f>'11.F&amp;V Crop Production details'!F116</f>
        <v>0</v>
      </c>
      <c r="H47" s="255">
        <f>'11.F&amp;V Crop Production details'!G116</f>
        <v>0</v>
      </c>
      <c r="I47" s="255">
        <f>'11.F&amp;V Crop Production details'!H116</f>
        <v>0</v>
      </c>
    </row>
    <row r="48" spans="1:9">
      <c r="A48" s="97">
        <f>'11.F&amp;V Crop Production details'!A117</f>
        <v>0</v>
      </c>
      <c r="B48" s="202"/>
      <c r="C48" s="255">
        <f>'11.F&amp;V Crop Production details'!B117</f>
        <v>0</v>
      </c>
      <c r="D48" s="255">
        <f>'11.F&amp;V Crop Production details'!C117</f>
        <v>0</v>
      </c>
      <c r="E48" s="255">
        <f>'11.F&amp;V Crop Production details'!D117</f>
        <v>0</v>
      </c>
      <c r="F48" s="255">
        <f>'11.F&amp;V Crop Production details'!E117</f>
        <v>0</v>
      </c>
      <c r="G48" s="255">
        <f>'11.F&amp;V Crop Production details'!F117</f>
        <v>0</v>
      </c>
      <c r="H48" s="255">
        <f>'11.F&amp;V Crop Production details'!G117</f>
        <v>0</v>
      </c>
      <c r="I48" s="255">
        <f>'11.F&amp;V Crop Production details'!H117</f>
        <v>0</v>
      </c>
    </row>
    <row r="49" spans="1:9">
      <c r="A49" s="97">
        <f>'11.F&amp;V Crop Production details'!A118</f>
        <v>0</v>
      </c>
      <c r="B49" s="202"/>
      <c r="C49" s="255">
        <f>'11.F&amp;V Crop Production details'!B118</f>
        <v>0</v>
      </c>
      <c r="D49" s="255">
        <f>'11.F&amp;V Crop Production details'!C118</f>
        <v>0</v>
      </c>
      <c r="E49" s="255">
        <f>'11.F&amp;V Crop Production details'!D118</f>
        <v>0</v>
      </c>
      <c r="F49" s="255">
        <f>'11.F&amp;V Crop Production details'!E118</f>
        <v>0</v>
      </c>
      <c r="G49" s="255">
        <f>'11.F&amp;V Crop Production details'!F118</f>
        <v>0</v>
      </c>
      <c r="H49" s="255">
        <f>'11.F&amp;V Crop Production details'!G118</f>
        <v>0</v>
      </c>
      <c r="I49" s="255">
        <f>'11.F&amp;V Crop Production details'!H118</f>
        <v>0</v>
      </c>
    </row>
    <row r="50" spans="1:9">
      <c r="A50" s="97">
        <f>'11.F&amp;V Crop Production details'!A119</f>
        <v>0</v>
      </c>
      <c r="B50" s="202"/>
      <c r="C50" s="255">
        <f>'11.F&amp;V Crop Production details'!B119</f>
        <v>0</v>
      </c>
      <c r="D50" s="255">
        <f>'11.F&amp;V Crop Production details'!C119</f>
        <v>0</v>
      </c>
      <c r="E50" s="255">
        <f>'11.F&amp;V Crop Production details'!D119</f>
        <v>0</v>
      </c>
      <c r="F50" s="255">
        <f>'11.F&amp;V Crop Production details'!E119</f>
        <v>0</v>
      </c>
      <c r="G50" s="255">
        <f>'11.F&amp;V Crop Production details'!F119</f>
        <v>0</v>
      </c>
      <c r="H50" s="255">
        <f>'11.F&amp;V Crop Production details'!G119</f>
        <v>0</v>
      </c>
      <c r="I50" s="255">
        <f>'11.F&amp;V Crop Production details'!H119</f>
        <v>0</v>
      </c>
    </row>
    <row r="51" spans="1:9">
      <c r="A51" s="97">
        <f>'11.F&amp;V Crop Production details'!A120</f>
        <v>0</v>
      </c>
      <c r="B51" s="202"/>
      <c r="C51" s="255">
        <f>'11.F&amp;V Crop Production details'!B120</f>
        <v>0</v>
      </c>
      <c r="D51" s="255">
        <f>'11.F&amp;V Crop Production details'!C120</f>
        <v>0</v>
      </c>
      <c r="E51" s="255">
        <f>'11.F&amp;V Crop Production details'!D120</f>
        <v>0</v>
      </c>
      <c r="F51" s="255">
        <f>'11.F&amp;V Crop Production details'!E120</f>
        <v>0</v>
      </c>
      <c r="G51" s="255">
        <f>'11.F&amp;V Crop Production details'!F120</f>
        <v>0</v>
      </c>
      <c r="H51" s="255">
        <f>'11.F&amp;V Crop Production details'!G120</f>
        <v>0</v>
      </c>
      <c r="I51" s="255">
        <f>'11.F&amp;V Crop Production details'!H120</f>
        <v>0</v>
      </c>
    </row>
    <row r="52" spans="1:9">
      <c r="A52" s="97">
        <f>'11.F&amp;V Crop Production details'!A121</f>
        <v>0</v>
      </c>
      <c r="B52" s="202"/>
      <c r="C52" s="255">
        <f>'11.F&amp;V Crop Production details'!B121</f>
        <v>0</v>
      </c>
      <c r="D52" s="255">
        <f>'11.F&amp;V Crop Production details'!C121</f>
        <v>0</v>
      </c>
      <c r="E52" s="255">
        <f>'11.F&amp;V Crop Production details'!D121</f>
        <v>0</v>
      </c>
      <c r="F52" s="255">
        <f>'11.F&amp;V Crop Production details'!E121</f>
        <v>0</v>
      </c>
      <c r="G52" s="255">
        <f>'11.F&amp;V Crop Production details'!F121</f>
        <v>0</v>
      </c>
      <c r="H52" s="255">
        <f>'11.F&amp;V Crop Production details'!G121</f>
        <v>0</v>
      </c>
      <c r="I52" s="255">
        <f>'11.F&amp;V Crop Production details'!H121</f>
        <v>0</v>
      </c>
    </row>
    <row r="53" spans="1:9">
      <c r="A53" s="97">
        <f>'11.F&amp;V Crop Production details'!A122</f>
        <v>0</v>
      </c>
      <c r="B53" s="202"/>
      <c r="C53" s="255">
        <f>'11.F&amp;V Crop Production details'!B122</f>
        <v>0</v>
      </c>
      <c r="D53" s="255">
        <f>'11.F&amp;V Crop Production details'!C122</f>
        <v>0</v>
      </c>
      <c r="E53" s="255">
        <f>'11.F&amp;V Crop Production details'!D122</f>
        <v>0</v>
      </c>
      <c r="F53" s="255">
        <f>'11.F&amp;V Crop Production details'!E122</f>
        <v>0</v>
      </c>
      <c r="G53" s="255">
        <f>'11.F&amp;V Crop Production details'!F122</f>
        <v>0</v>
      </c>
      <c r="H53" s="255">
        <f>'11.F&amp;V Crop Production details'!G122</f>
        <v>0</v>
      </c>
      <c r="I53" s="255">
        <f>'11.F&amp;V Crop Production details'!H122</f>
        <v>0</v>
      </c>
    </row>
    <row r="54" spans="1:9">
      <c r="A54" s="97" t="str">
        <f>'11.F&amp;V Crop Production details'!A123</f>
        <v>Pomegranate</v>
      </c>
      <c r="B54" s="202"/>
      <c r="C54" s="255">
        <f>'11.F&amp;V Crop Production details'!B123</f>
        <v>0</v>
      </c>
      <c r="D54" s="255">
        <f>'11.F&amp;V Crop Production details'!C123</f>
        <v>0</v>
      </c>
      <c r="E54" s="255">
        <f>'11.F&amp;V Crop Production details'!D123</f>
        <v>0</v>
      </c>
      <c r="F54" s="255">
        <f>'11.F&amp;V Crop Production details'!E123</f>
        <v>0</v>
      </c>
      <c r="G54" s="255">
        <f>'11.F&amp;V Crop Production details'!F123</f>
        <v>0</v>
      </c>
      <c r="H54" s="255">
        <f>'11.F&amp;V Crop Production details'!G123</f>
        <v>0</v>
      </c>
      <c r="I54" s="255">
        <f>'11.F&amp;V Crop Production details'!H123</f>
        <v>0</v>
      </c>
    </row>
    <row r="55" spans="1:9">
      <c r="A55" s="97" t="str">
        <f>'11.F&amp;V Crop Production details'!A124</f>
        <v>Custard Apple</v>
      </c>
      <c r="B55" s="202"/>
      <c r="C55" s="255">
        <f>'11.F&amp;V Crop Production details'!B124</f>
        <v>0</v>
      </c>
      <c r="D55" s="255">
        <f>'11.F&amp;V Crop Production details'!C124</f>
        <v>0</v>
      </c>
      <c r="E55" s="255">
        <f>'11.F&amp;V Crop Production details'!D124</f>
        <v>0</v>
      </c>
      <c r="F55" s="255">
        <f>'11.F&amp;V Crop Production details'!E124</f>
        <v>0</v>
      </c>
      <c r="G55" s="255">
        <f>'11.F&amp;V Crop Production details'!F124</f>
        <v>0</v>
      </c>
      <c r="H55" s="255">
        <f>'11.F&amp;V Crop Production details'!G124</f>
        <v>0</v>
      </c>
      <c r="I55" s="255">
        <f>'11.F&amp;V Crop Production details'!H124</f>
        <v>0</v>
      </c>
    </row>
    <row r="56" spans="1:9">
      <c r="A56" s="97" t="str">
        <f>'11.F&amp;V Crop Production details'!A125</f>
        <v>Guava</v>
      </c>
      <c r="B56" s="202"/>
      <c r="C56" s="255">
        <f>'11.F&amp;V Crop Production details'!B125</f>
        <v>0</v>
      </c>
      <c r="D56" s="255">
        <f>'11.F&amp;V Crop Production details'!C125</f>
        <v>0</v>
      </c>
      <c r="E56" s="255">
        <f>'11.F&amp;V Crop Production details'!D125</f>
        <v>0</v>
      </c>
      <c r="F56" s="255">
        <f>'11.F&amp;V Crop Production details'!E125</f>
        <v>0</v>
      </c>
      <c r="G56" s="255">
        <f>'11.F&amp;V Crop Production details'!F125</f>
        <v>0</v>
      </c>
      <c r="H56" s="255">
        <f>'11.F&amp;V Crop Production details'!G125</f>
        <v>0</v>
      </c>
      <c r="I56" s="255">
        <f>'11.F&amp;V Crop Production details'!H125</f>
        <v>0</v>
      </c>
    </row>
    <row r="57" spans="1:9">
      <c r="A57" s="97" t="str">
        <f>'11.F&amp;V Crop Production details'!A126</f>
        <v>Citrus</v>
      </c>
      <c r="B57" s="202"/>
      <c r="C57" s="255">
        <f>'11.F&amp;V Crop Production details'!B126</f>
        <v>0</v>
      </c>
      <c r="D57" s="255">
        <f>'11.F&amp;V Crop Production details'!C126</f>
        <v>0</v>
      </c>
      <c r="E57" s="255">
        <f>'11.F&amp;V Crop Production details'!D126</f>
        <v>0</v>
      </c>
      <c r="F57" s="255">
        <f>'11.F&amp;V Crop Production details'!E126</f>
        <v>0</v>
      </c>
      <c r="G57" s="255">
        <f>'11.F&amp;V Crop Production details'!F126</f>
        <v>0</v>
      </c>
      <c r="H57" s="255">
        <f>'11.F&amp;V Crop Production details'!G126</f>
        <v>0</v>
      </c>
      <c r="I57" s="255">
        <f>'11.F&amp;V Crop Production details'!H126</f>
        <v>0</v>
      </c>
    </row>
    <row r="58" spans="1:9">
      <c r="A58" s="97"/>
      <c r="B58" s="202"/>
      <c r="C58" s="202"/>
      <c r="D58" s="202"/>
      <c r="E58" s="202"/>
      <c r="F58" s="202"/>
      <c r="G58" s="202"/>
      <c r="H58" s="202"/>
      <c r="I58" s="202"/>
    </row>
    <row r="59" spans="1:9">
      <c r="A59" s="99" t="s">
        <v>183</v>
      </c>
      <c r="B59" s="97"/>
      <c r="C59" s="97"/>
      <c r="D59" s="97"/>
      <c r="E59" s="97"/>
      <c r="F59" s="97"/>
      <c r="G59" s="97"/>
      <c r="H59" s="97"/>
      <c r="I59" s="97"/>
    </row>
    <row r="60" spans="1:9">
      <c r="A60" s="99" t="s">
        <v>184</v>
      </c>
      <c r="B60" s="97"/>
      <c r="C60" s="97"/>
      <c r="D60" s="97"/>
      <c r="E60" s="97"/>
      <c r="F60" s="97"/>
      <c r="G60" s="97"/>
      <c r="H60" s="97"/>
      <c r="I60" s="97"/>
    </row>
    <row r="61" spans="1:9">
      <c r="A61" s="99" t="str">
        <f t="shared" ref="A61:A92" si="0">A8</f>
        <v>Kharif Crops</v>
      </c>
      <c r="B61" s="97"/>
      <c r="C61" s="97"/>
      <c r="D61" s="97"/>
      <c r="E61" s="97"/>
      <c r="F61" s="97"/>
      <c r="G61" s="97"/>
      <c r="H61" s="97"/>
      <c r="I61" s="97"/>
    </row>
    <row r="62" spans="1:9">
      <c r="A62" s="97" t="str">
        <f t="shared" si="0"/>
        <v>Soybean</v>
      </c>
      <c r="B62" s="230">
        <v>30</v>
      </c>
      <c r="C62" s="203">
        <f>$B62*C9</f>
        <v>13939.199999999999</v>
      </c>
      <c r="D62" s="203">
        <f>$B62*D9</f>
        <v>15681.6</v>
      </c>
      <c r="E62" s="203">
        <f t="shared" ref="E62:I62" si="1">$B62*E9</f>
        <v>17424.000000000004</v>
      </c>
      <c r="F62" s="203">
        <f t="shared" si="1"/>
        <v>19166.400000000001</v>
      </c>
      <c r="G62" s="203">
        <f t="shared" si="1"/>
        <v>20908.800000000003</v>
      </c>
      <c r="H62" s="203">
        <f t="shared" si="1"/>
        <v>22651.200000000004</v>
      </c>
      <c r="I62" s="203">
        <f t="shared" si="1"/>
        <v>24393.600000000009</v>
      </c>
    </row>
    <row r="63" spans="1:9">
      <c r="A63" s="97" t="str">
        <f t="shared" si="0"/>
        <v>Red Gram/Tur</v>
      </c>
      <c r="B63" s="230">
        <v>5</v>
      </c>
      <c r="C63" s="203">
        <f>$B63*C10</f>
        <v>264</v>
      </c>
      <c r="D63" s="203">
        <f t="shared" ref="D63:I63" si="2">$B$63*D10</f>
        <v>297</v>
      </c>
      <c r="E63" s="203">
        <f t="shared" si="2"/>
        <v>330</v>
      </c>
      <c r="F63" s="203">
        <f t="shared" si="2"/>
        <v>363.00000000000006</v>
      </c>
      <c r="G63" s="203">
        <f t="shared" si="2"/>
        <v>396.00000000000011</v>
      </c>
      <c r="H63" s="203">
        <f t="shared" si="2"/>
        <v>429.00000000000006</v>
      </c>
      <c r="I63" s="203">
        <f t="shared" si="2"/>
        <v>462.00000000000011</v>
      </c>
    </row>
    <row r="64" spans="1:9">
      <c r="A64" s="97" t="str">
        <f t="shared" si="0"/>
        <v>Paddy/Rice</v>
      </c>
      <c r="B64" s="230">
        <v>15</v>
      </c>
      <c r="C64" s="203">
        <f>$B64*C11</f>
        <v>0</v>
      </c>
      <c r="D64" s="203">
        <f t="shared" ref="D64:I64" si="3">$B$64*D11</f>
        <v>0</v>
      </c>
      <c r="E64" s="203">
        <f t="shared" si="3"/>
        <v>0</v>
      </c>
      <c r="F64" s="203">
        <f t="shared" si="3"/>
        <v>0</v>
      </c>
      <c r="G64" s="203">
        <f t="shared" si="3"/>
        <v>0</v>
      </c>
      <c r="H64" s="203">
        <f t="shared" si="3"/>
        <v>0</v>
      </c>
      <c r="I64" s="203">
        <f t="shared" si="3"/>
        <v>0</v>
      </c>
    </row>
    <row r="65" spans="1:9">
      <c r="A65" s="97" t="str">
        <f t="shared" si="0"/>
        <v>Green Gram/ Moong</v>
      </c>
      <c r="B65" s="230">
        <v>15</v>
      </c>
      <c r="C65" s="203">
        <f>$B65*C12</f>
        <v>39.600000000000009</v>
      </c>
      <c r="D65" s="203">
        <f t="shared" ref="D65:I67" si="4">$B65*D12</f>
        <v>44.550000000000011</v>
      </c>
      <c r="E65" s="203">
        <f t="shared" si="4"/>
        <v>49.500000000000014</v>
      </c>
      <c r="F65" s="203">
        <f t="shared" si="4"/>
        <v>54.450000000000017</v>
      </c>
      <c r="G65" s="203">
        <f t="shared" si="4"/>
        <v>59.40000000000002</v>
      </c>
      <c r="H65" s="203">
        <f t="shared" si="4"/>
        <v>64.350000000000023</v>
      </c>
      <c r="I65" s="203">
        <f t="shared" si="4"/>
        <v>69.300000000000026</v>
      </c>
    </row>
    <row r="66" spans="1:9">
      <c r="A66" s="97" t="str">
        <f t="shared" si="0"/>
        <v>Maize</v>
      </c>
      <c r="B66" s="230">
        <v>25</v>
      </c>
      <c r="C66" s="203">
        <f>$B66*C13</f>
        <v>0</v>
      </c>
      <c r="D66" s="203">
        <f t="shared" si="4"/>
        <v>0</v>
      </c>
      <c r="E66" s="203">
        <f t="shared" si="4"/>
        <v>0</v>
      </c>
      <c r="F66" s="203">
        <f t="shared" si="4"/>
        <v>0</v>
      </c>
      <c r="G66" s="203">
        <f t="shared" si="4"/>
        <v>0</v>
      </c>
      <c r="H66" s="203">
        <f t="shared" si="4"/>
        <v>0</v>
      </c>
      <c r="I66" s="203">
        <f t="shared" si="4"/>
        <v>0</v>
      </c>
    </row>
    <row r="67" spans="1:9">
      <c r="A67" s="97" t="str">
        <f t="shared" si="0"/>
        <v>Black Gram/Udid</v>
      </c>
      <c r="B67" s="230">
        <v>15</v>
      </c>
      <c r="C67" s="203">
        <f>$B67*C14</f>
        <v>0</v>
      </c>
      <c r="D67" s="203">
        <f t="shared" si="4"/>
        <v>0</v>
      </c>
      <c r="E67" s="203">
        <f t="shared" si="4"/>
        <v>0</v>
      </c>
      <c r="F67" s="203">
        <f t="shared" si="4"/>
        <v>0</v>
      </c>
      <c r="G67" s="203">
        <f t="shared" si="4"/>
        <v>0</v>
      </c>
      <c r="H67" s="203">
        <f t="shared" si="4"/>
        <v>0</v>
      </c>
      <c r="I67" s="203">
        <f t="shared" si="4"/>
        <v>0</v>
      </c>
    </row>
    <row r="68" spans="1:9">
      <c r="A68" s="97" t="str">
        <f t="shared" si="0"/>
        <v>Bajra</v>
      </c>
      <c r="B68" s="230">
        <v>5</v>
      </c>
      <c r="C68" s="203">
        <f t="shared" ref="C68:I68" si="5">$B68*C15</f>
        <v>0</v>
      </c>
      <c r="D68" s="203">
        <f t="shared" si="5"/>
        <v>0</v>
      </c>
      <c r="E68" s="203">
        <f t="shared" si="5"/>
        <v>0</v>
      </c>
      <c r="F68" s="203">
        <f t="shared" si="5"/>
        <v>0</v>
      </c>
      <c r="G68" s="203">
        <f t="shared" si="5"/>
        <v>0</v>
      </c>
      <c r="H68" s="203">
        <f t="shared" si="5"/>
        <v>0</v>
      </c>
      <c r="I68" s="203">
        <f t="shared" si="5"/>
        <v>0</v>
      </c>
    </row>
    <row r="69" spans="1:9">
      <c r="A69" s="97" t="str">
        <f t="shared" si="0"/>
        <v>Jawar</v>
      </c>
      <c r="B69" s="230">
        <v>5</v>
      </c>
      <c r="C69" s="203">
        <f t="shared" ref="C69:I69" si="6">$B69*C16</f>
        <v>13.200000000000003</v>
      </c>
      <c r="D69" s="203">
        <f t="shared" si="6"/>
        <v>14.850000000000003</v>
      </c>
      <c r="E69" s="203">
        <f t="shared" si="6"/>
        <v>16.500000000000004</v>
      </c>
      <c r="F69" s="203">
        <f t="shared" si="6"/>
        <v>18.150000000000006</v>
      </c>
      <c r="G69" s="203">
        <f t="shared" si="6"/>
        <v>19.800000000000008</v>
      </c>
      <c r="H69" s="203">
        <f t="shared" si="6"/>
        <v>21.45000000000001</v>
      </c>
      <c r="I69" s="203">
        <f t="shared" si="6"/>
        <v>23.100000000000009</v>
      </c>
    </row>
    <row r="70" spans="1:9">
      <c r="A70" s="99" t="str">
        <f t="shared" si="0"/>
        <v>Rabi Crop</v>
      </c>
      <c r="B70" s="230"/>
      <c r="C70" s="203"/>
      <c r="D70" s="203"/>
      <c r="E70" s="203"/>
      <c r="F70" s="203"/>
      <c r="G70" s="203"/>
      <c r="H70" s="203"/>
      <c r="I70" s="203"/>
    </row>
    <row r="71" spans="1:9">
      <c r="A71" s="97" t="str">
        <f t="shared" si="0"/>
        <v>Wheat</v>
      </c>
      <c r="B71" s="230">
        <v>40</v>
      </c>
      <c r="C71" s="203">
        <f t="shared" ref="C71:I71" si="7">$B71*C18</f>
        <v>126.72</v>
      </c>
      <c r="D71" s="203">
        <f t="shared" si="7"/>
        <v>142.56</v>
      </c>
      <c r="E71" s="203">
        <f t="shared" si="7"/>
        <v>158.4</v>
      </c>
      <c r="F71" s="203">
        <f t="shared" si="7"/>
        <v>174.24</v>
      </c>
      <c r="G71" s="203">
        <f t="shared" si="7"/>
        <v>190.07999999999998</v>
      </c>
      <c r="H71" s="203">
        <f t="shared" si="7"/>
        <v>205.92</v>
      </c>
      <c r="I71" s="203">
        <f t="shared" si="7"/>
        <v>221.76000000000002</v>
      </c>
    </row>
    <row r="72" spans="1:9">
      <c r="A72" s="97" t="str">
        <f t="shared" si="0"/>
        <v>Bengal Gram/Channa</v>
      </c>
      <c r="B72" s="230">
        <v>30</v>
      </c>
      <c r="C72" s="203">
        <f t="shared" ref="C72:I72" si="8">$B72*C19</f>
        <v>3801.6000000000004</v>
      </c>
      <c r="D72" s="203">
        <f t="shared" si="8"/>
        <v>4276.8</v>
      </c>
      <c r="E72" s="203">
        <f t="shared" si="8"/>
        <v>4752</v>
      </c>
      <c r="F72" s="203">
        <f t="shared" si="8"/>
        <v>5227.2000000000007</v>
      </c>
      <c r="G72" s="203">
        <f t="shared" si="8"/>
        <v>5702.4000000000015</v>
      </c>
      <c r="H72" s="203">
        <f t="shared" si="8"/>
        <v>6177.6000000000013</v>
      </c>
      <c r="I72" s="203">
        <f t="shared" si="8"/>
        <v>6652.800000000002</v>
      </c>
    </row>
    <row r="73" spans="1:9">
      <c r="A73" s="97" t="str">
        <f t="shared" si="0"/>
        <v>Jawar</v>
      </c>
      <c r="B73" s="230">
        <v>5</v>
      </c>
      <c r="C73" s="203">
        <f t="shared" ref="C73:I73" si="9">$B73*C20</f>
        <v>55.440000000000005</v>
      </c>
      <c r="D73" s="203">
        <f t="shared" si="9"/>
        <v>62.370000000000012</v>
      </c>
      <c r="E73" s="203">
        <f t="shared" si="9"/>
        <v>69.300000000000011</v>
      </c>
      <c r="F73" s="203">
        <f t="shared" si="9"/>
        <v>76.230000000000018</v>
      </c>
      <c r="G73" s="203">
        <f t="shared" si="9"/>
        <v>83.160000000000025</v>
      </c>
      <c r="H73" s="203">
        <f t="shared" si="9"/>
        <v>90.090000000000032</v>
      </c>
      <c r="I73" s="203">
        <f t="shared" si="9"/>
        <v>97.020000000000053</v>
      </c>
    </row>
    <row r="74" spans="1:9">
      <c r="A74" s="97" t="str">
        <f t="shared" si="0"/>
        <v>Maize</v>
      </c>
      <c r="B74" s="230">
        <v>20</v>
      </c>
      <c r="C74" s="203">
        <f t="shared" ref="C74:I74" si="10">$B74*C21</f>
        <v>0</v>
      </c>
      <c r="D74" s="203">
        <f t="shared" si="10"/>
        <v>0</v>
      </c>
      <c r="E74" s="203">
        <f t="shared" si="10"/>
        <v>0</v>
      </c>
      <c r="F74" s="203">
        <f t="shared" si="10"/>
        <v>0</v>
      </c>
      <c r="G74" s="203">
        <f t="shared" si="10"/>
        <v>0</v>
      </c>
      <c r="H74" s="203">
        <f t="shared" si="10"/>
        <v>0</v>
      </c>
      <c r="I74" s="203">
        <f t="shared" si="10"/>
        <v>0</v>
      </c>
    </row>
    <row r="75" spans="1:9">
      <c r="A75" s="97" t="str">
        <f t="shared" si="0"/>
        <v>Safflower</v>
      </c>
      <c r="B75" s="230">
        <v>5</v>
      </c>
      <c r="C75" s="203">
        <f t="shared" ref="C75:I75" si="11">$B75*C22</f>
        <v>7.92</v>
      </c>
      <c r="D75" s="203">
        <f t="shared" si="11"/>
        <v>8.91</v>
      </c>
      <c r="E75" s="203">
        <f t="shared" si="11"/>
        <v>9.9</v>
      </c>
      <c r="F75" s="203">
        <f t="shared" si="11"/>
        <v>10.89</v>
      </c>
      <c r="G75" s="203">
        <f t="shared" si="11"/>
        <v>11.879999999999999</v>
      </c>
      <c r="H75" s="203">
        <f t="shared" si="11"/>
        <v>12.87</v>
      </c>
      <c r="I75" s="203">
        <f t="shared" si="11"/>
        <v>13.860000000000001</v>
      </c>
    </row>
    <row r="76" spans="1:9">
      <c r="A76" s="97">
        <f t="shared" si="0"/>
        <v>0</v>
      </c>
      <c r="B76" s="230"/>
      <c r="C76" s="203">
        <f t="shared" ref="C76:I76" si="12">$B76*C23</f>
        <v>0</v>
      </c>
      <c r="D76" s="203">
        <f t="shared" si="12"/>
        <v>0</v>
      </c>
      <c r="E76" s="203">
        <f t="shared" si="12"/>
        <v>0</v>
      </c>
      <c r="F76" s="203">
        <f t="shared" si="12"/>
        <v>0</v>
      </c>
      <c r="G76" s="203">
        <f t="shared" si="12"/>
        <v>0</v>
      </c>
      <c r="H76" s="203">
        <f t="shared" si="12"/>
        <v>0</v>
      </c>
      <c r="I76" s="203">
        <f t="shared" si="12"/>
        <v>0</v>
      </c>
    </row>
    <row r="77" spans="1:9">
      <c r="A77" s="97">
        <f t="shared" si="0"/>
        <v>0</v>
      </c>
      <c r="B77" s="230"/>
      <c r="C77" s="203">
        <f t="shared" ref="C77:I77" si="13">$B77*C24</f>
        <v>0</v>
      </c>
      <c r="D77" s="203">
        <f t="shared" si="13"/>
        <v>0</v>
      </c>
      <c r="E77" s="203">
        <f t="shared" si="13"/>
        <v>0</v>
      </c>
      <c r="F77" s="203">
        <f t="shared" si="13"/>
        <v>0</v>
      </c>
      <c r="G77" s="203">
        <f t="shared" si="13"/>
        <v>0</v>
      </c>
      <c r="H77" s="203">
        <f t="shared" si="13"/>
        <v>0</v>
      </c>
      <c r="I77" s="203">
        <f t="shared" si="13"/>
        <v>0</v>
      </c>
    </row>
    <row r="78" spans="1:9">
      <c r="A78" s="97">
        <f t="shared" si="0"/>
        <v>0</v>
      </c>
      <c r="B78" s="230"/>
      <c r="C78" s="203">
        <f t="shared" ref="C78:I78" si="14">$B78*C25</f>
        <v>0</v>
      </c>
      <c r="D78" s="203">
        <f t="shared" si="14"/>
        <v>0</v>
      </c>
      <c r="E78" s="203">
        <f t="shared" si="14"/>
        <v>0</v>
      </c>
      <c r="F78" s="203">
        <f t="shared" si="14"/>
        <v>0</v>
      </c>
      <c r="G78" s="203">
        <f t="shared" si="14"/>
        <v>0</v>
      </c>
      <c r="H78" s="203">
        <f t="shared" si="14"/>
        <v>0</v>
      </c>
      <c r="I78" s="203">
        <f t="shared" si="14"/>
        <v>0</v>
      </c>
    </row>
    <row r="79" spans="1:9">
      <c r="A79" s="99" t="str">
        <f t="shared" si="0"/>
        <v>Summer</v>
      </c>
      <c r="B79" s="230"/>
      <c r="C79" s="203"/>
      <c r="D79" s="203"/>
      <c r="E79" s="203"/>
      <c r="F79" s="203"/>
      <c r="G79" s="203"/>
      <c r="H79" s="203"/>
      <c r="I79" s="203"/>
    </row>
    <row r="80" spans="1:9">
      <c r="A80" s="97" t="str">
        <f t="shared" si="0"/>
        <v>Groundnut</v>
      </c>
      <c r="B80" s="230"/>
      <c r="C80" s="203">
        <f t="shared" ref="C80:I80" si="15">$B80*C27</f>
        <v>0</v>
      </c>
      <c r="D80" s="203">
        <f t="shared" si="15"/>
        <v>0</v>
      </c>
      <c r="E80" s="203">
        <f t="shared" si="15"/>
        <v>0</v>
      </c>
      <c r="F80" s="203">
        <f t="shared" si="15"/>
        <v>0</v>
      </c>
      <c r="G80" s="203">
        <f t="shared" si="15"/>
        <v>0</v>
      </c>
      <c r="H80" s="203">
        <f t="shared" si="15"/>
        <v>0</v>
      </c>
      <c r="I80" s="203">
        <f t="shared" si="15"/>
        <v>0</v>
      </c>
    </row>
    <row r="81" spans="1:9">
      <c r="A81" s="97">
        <f t="shared" si="0"/>
        <v>0</v>
      </c>
      <c r="B81" s="230"/>
      <c r="C81" s="203">
        <f t="shared" ref="C81:I81" si="16">$B81*C28</f>
        <v>0</v>
      </c>
      <c r="D81" s="203">
        <f t="shared" si="16"/>
        <v>0</v>
      </c>
      <c r="E81" s="203">
        <f t="shared" si="16"/>
        <v>0</v>
      </c>
      <c r="F81" s="203">
        <f t="shared" si="16"/>
        <v>0</v>
      </c>
      <c r="G81" s="203">
        <f t="shared" si="16"/>
        <v>0</v>
      </c>
      <c r="H81" s="203">
        <f t="shared" si="16"/>
        <v>0</v>
      </c>
      <c r="I81" s="203">
        <f t="shared" si="16"/>
        <v>0</v>
      </c>
    </row>
    <row r="82" spans="1:9">
      <c r="A82" s="97">
        <f t="shared" si="0"/>
        <v>0</v>
      </c>
      <c r="B82" s="230"/>
      <c r="C82" s="203">
        <f t="shared" ref="C82:I82" si="17">$B82*C29</f>
        <v>0</v>
      </c>
      <c r="D82" s="203">
        <f t="shared" si="17"/>
        <v>0</v>
      </c>
      <c r="E82" s="203">
        <f t="shared" si="17"/>
        <v>0</v>
      </c>
      <c r="F82" s="203">
        <f t="shared" si="17"/>
        <v>0</v>
      </c>
      <c r="G82" s="203">
        <f t="shared" si="17"/>
        <v>0</v>
      </c>
      <c r="H82" s="203">
        <f t="shared" si="17"/>
        <v>0</v>
      </c>
      <c r="I82" s="203">
        <f t="shared" si="17"/>
        <v>0</v>
      </c>
    </row>
    <row r="83" spans="1:9">
      <c r="A83" s="97">
        <f t="shared" si="0"/>
        <v>0</v>
      </c>
      <c r="B83" s="230"/>
      <c r="C83" s="203">
        <f t="shared" ref="C83:I83" si="18">$B83*C30</f>
        <v>0</v>
      </c>
      <c r="D83" s="203">
        <f t="shared" si="18"/>
        <v>0</v>
      </c>
      <c r="E83" s="203">
        <f t="shared" si="18"/>
        <v>0</v>
      </c>
      <c r="F83" s="203">
        <f t="shared" si="18"/>
        <v>0</v>
      </c>
      <c r="G83" s="203">
        <f t="shared" si="18"/>
        <v>0</v>
      </c>
      <c r="H83" s="203">
        <f t="shared" si="18"/>
        <v>0</v>
      </c>
      <c r="I83" s="203">
        <f t="shared" si="18"/>
        <v>0</v>
      </c>
    </row>
    <row r="84" spans="1:9">
      <c r="A84" s="97">
        <f t="shared" si="0"/>
        <v>0</v>
      </c>
      <c r="B84" s="230"/>
      <c r="C84" s="203">
        <f t="shared" ref="C84:I84" si="19">$B84*C31</f>
        <v>0</v>
      </c>
      <c r="D84" s="203">
        <f t="shared" si="19"/>
        <v>0</v>
      </c>
      <c r="E84" s="203">
        <f t="shared" si="19"/>
        <v>0</v>
      </c>
      <c r="F84" s="203">
        <f t="shared" si="19"/>
        <v>0</v>
      </c>
      <c r="G84" s="203">
        <f t="shared" si="19"/>
        <v>0</v>
      </c>
      <c r="H84" s="203">
        <f t="shared" si="19"/>
        <v>0</v>
      </c>
      <c r="I84" s="203">
        <f t="shared" si="19"/>
        <v>0</v>
      </c>
    </row>
    <row r="85" spans="1:9">
      <c r="A85" s="99" t="str">
        <f t="shared" si="0"/>
        <v>Fruit  &amp; Vegetables Crop Production Details</v>
      </c>
      <c r="B85" s="230"/>
      <c r="C85" s="203"/>
      <c r="D85" s="203"/>
      <c r="E85" s="203"/>
      <c r="F85" s="203"/>
      <c r="G85" s="203"/>
      <c r="H85" s="203"/>
      <c r="I85" s="203"/>
    </row>
    <row r="86" spans="1:9">
      <c r="A86" s="97" t="str">
        <f t="shared" si="0"/>
        <v>Onion</v>
      </c>
      <c r="B86" s="230"/>
      <c r="C86" s="203">
        <f t="shared" ref="C86:I86" si="20">$B86*C33</f>
        <v>0</v>
      </c>
      <c r="D86" s="203">
        <f t="shared" si="20"/>
        <v>0</v>
      </c>
      <c r="E86" s="203">
        <f t="shared" si="20"/>
        <v>0</v>
      </c>
      <c r="F86" s="203">
        <f t="shared" si="20"/>
        <v>0</v>
      </c>
      <c r="G86" s="203">
        <f t="shared" si="20"/>
        <v>0</v>
      </c>
      <c r="H86" s="203">
        <f t="shared" si="20"/>
        <v>0</v>
      </c>
      <c r="I86" s="203">
        <f t="shared" si="20"/>
        <v>0</v>
      </c>
    </row>
    <row r="87" spans="1:9">
      <c r="A87" s="97" t="str">
        <f t="shared" si="0"/>
        <v>Tomato</v>
      </c>
      <c r="B87" s="230"/>
      <c r="C87" s="203">
        <f t="shared" ref="C87:I87" si="21">$B87*C34</f>
        <v>0</v>
      </c>
      <c r="D87" s="203">
        <f t="shared" si="21"/>
        <v>0</v>
      </c>
      <c r="E87" s="203">
        <f t="shared" si="21"/>
        <v>0</v>
      </c>
      <c r="F87" s="203">
        <f t="shared" si="21"/>
        <v>0</v>
      </c>
      <c r="G87" s="203">
        <f t="shared" si="21"/>
        <v>0</v>
      </c>
      <c r="H87" s="203">
        <f t="shared" si="21"/>
        <v>0</v>
      </c>
      <c r="I87" s="203">
        <f t="shared" si="21"/>
        <v>0</v>
      </c>
    </row>
    <row r="88" spans="1:9">
      <c r="A88" s="97" t="str">
        <f t="shared" si="0"/>
        <v>Okra</v>
      </c>
      <c r="B88" s="230"/>
      <c r="C88" s="203">
        <f t="shared" ref="C88:I88" si="22">$B88*C35</f>
        <v>0</v>
      </c>
      <c r="D88" s="203">
        <f t="shared" si="22"/>
        <v>0</v>
      </c>
      <c r="E88" s="203">
        <f t="shared" si="22"/>
        <v>0</v>
      </c>
      <c r="F88" s="203">
        <f t="shared" si="22"/>
        <v>0</v>
      </c>
      <c r="G88" s="203">
        <f t="shared" si="22"/>
        <v>0</v>
      </c>
      <c r="H88" s="203">
        <f t="shared" si="22"/>
        <v>0</v>
      </c>
      <c r="I88" s="203">
        <f t="shared" si="22"/>
        <v>0</v>
      </c>
    </row>
    <row r="89" spans="1:9">
      <c r="A89" s="97" t="str">
        <f t="shared" si="0"/>
        <v>Chilli</v>
      </c>
      <c r="B89" s="230"/>
      <c r="C89" s="203">
        <f t="shared" ref="C89:I89" si="23">$B89*C36</f>
        <v>0</v>
      </c>
      <c r="D89" s="203">
        <f t="shared" si="23"/>
        <v>0</v>
      </c>
      <c r="E89" s="203">
        <f t="shared" si="23"/>
        <v>0</v>
      </c>
      <c r="F89" s="203">
        <f t="shared" si="23"/>
        <v>0</v>
      </c>
      <c r="G89" s="203">
        <f t="shared" si="23"/>
        <v>0</v>
      </c>
      <c r="H89" s="203">
        <f t="shared" si="23"/>
        <v>0</v>
      </c>
      <c r="I89" s="203">
        <f t="shared" si="23"/>
        <v>0</v>
      </c>
    </row>
    <row r="90" spans="1:9">
      <c r="A90" s="97" t="str">
        <f t="shared" si="0"/>
        <v>Potato</v>
      </c>
      <c r="B90" s="230"/>
      <c r="C90" s="203">
        <f t="shared" ref="C90:I90" si="24">$B90*C37</f>
        <v>0</v>
      </c>
      <c r="D90" s="203">
        <f t="shared" si="24"/>
        <v>0</v>
      </c>
      <c r="E90" s="203">
        <f t="shared" si="24"/>
        <v>0</v>
      </c>
      <c r="F90" s="203">
        <f t="shared" si="24"/>
        <v>0</v>
      </c>
      <c r="G90" s="203">
        <f t="shared" si="24"/>
        <v>0</v>
      </c>
      <c r="H90" s="203">
        <f t="shared" si="24"/>
        <v>0</v>
      </c>
      <c r="I90" s="203">
        <f t="shared" si="24"/>
        <v>0</v>
      </c>
    </row>
    <row r="91" spans="1:9">
      <c r="A91" s="97">
        <f t="shared" si="0"/>
        <v>0</v>
      </c>
      <c r="B91" s="230"/>
      <c r="C91" s="203">
        <f t="shared" ref="C91:I91" si="25">$B91*C38</f>
        <v>0</v>
      </c>
      <c r="D91" s="203">
        <f t="shared" si="25"/>
        <v>0</v>
      </c>
      <c r="E91" s="203">
        <f t="shared" si="25"/>
        <v>0</v>
      </c>
      <c r="F91" s="203">
        <f t="shared" si="25"/>
        <v>0</v>
      </c>
      <c r="G91" s="203">
        <f t="shared" si="25"/>
        <v>0</v>
      </c>
      <c r="H91" s="203">
        <f t="shared" si="25"/>
        <v>0</v>
      </c>
      <c r="I91" s="203">
        <f t="shared" si="25"/>
        <v>0</v>
      </c>
    </row>
    <row r="92" spans="1:9">
      <c r="A92" s="97">
        <f t="shared" si="0"/>
        <v>0</v>
      </c>
      <c r="B92" s="230"/>
      <c r="C92" s="203">
        <f t="shared" ref="C92:I92" si="26">$B92*C39</f>
        <v>0</v>
      </c>
      <c r="D92" s="203">
        <f t="shared" si="26"/>
        <v>0</v>
      </c>
      <c r="E92" s="203">
        <f t="shared" si="26"/>
        <v>0</v>
      </c>
      <c r="F92" s="203">
        <f t="shared" si="26"/>
        <v>0</v>
      </c>
      <c r="G92" s="203">
        <f t="shared" si="26"/>
        <v>0</v>
      </c>
      <c r="H92" s="203">
        <f t="shared" si="26"/>
        <v>0</v>
      </c>
      <c r="I92" s="203">
        <f t="shared" si="26"/>
        <v>0</v>
      </c>
    </row>
    <row r="93" spans="1:9">
      <c r="A93" s="97">
        <f t="shared" ref="A93:A110" si="27">A40</f>
        <v>0</v>
      </c>
      <c r="B93" s="230"/>
      <c r="C93" s="203">
        <f t="shared" ref="C93:I93" si="28">$B93*C40</f>
        <v>0</v>
      </c>
      <c r="D93" s="203">
        <f t="shared" si="28"/>
        <v>0</v>
      </c>
      <c r="E93" s="203">
        <f t="shared" si="28"/>
        <v>0</v>
      </c>
      <c r="F93" s="203">
        <f t="shared" si="28"/>
        <v>0</v>
      </c>
      <c r="G93" s="203">
        <f t="shared" si="28"/>
        <v>0</v>
      </c>
      <c r="H93" s="203">
        <f t="shared" si="28"/>
        <v>0</v>
      </c>
      <c r="I93" s="203">
        <f t="shared" si="28"/>
        <v>0</v>
      </c>
    </row>
    <row r="94" spans="1:9">
      <c r="A94" s="97">
        <f t="shared" si="27"/>
        <v>0</v>
      </c>
      <c r="B94" s="230"/>
      <c r="C94" s="203">
        <f t="shared" ref="C94:I94" si="29">$B94*C41</f>
        <v>0</v>
      </c>
      <c r="D94" s="203">
        <f t="shared" si="29"/>
        <v>0</v>
      </c>
      <c r="E94" s="203">
        <f t="shared" si="29"/>
        <v>0</v>
      </c>
      <c r="F94" s="203">
        <f t="shared" si="29"/>
        <v>0</v>
      </c>
      <c r="G94" s="203">
        <f t="shared" si="29"/>
        <v>0</v>
      </c>
      <c r="H94" s="203">
        <f t="shared" si="29"/>
        <v>0</v>
      </c>
      <c r="I94" s="203">
        <f t="shared" si="29"/>
        <v>0</v>
      </c>
    </row>
    <row r="95" spans="1:9">
      <c r="A95" s="97" t="str">
        <f t="shared" si="27"/>
        <v>Onion</v>
      </c>
      <c r="B95" s="230"/>
      <c r="C95" s="203">
        <f t="shared" ref="C95:I95" si="30">$B95*C42</f>
        <v>0</v>
      </c>
      <c r="D95" s="203">
        <f t="shared" si="30"/>
        <v>0</v>
      </c>
      <c r="E95" s="203">
        <f t="shared" si="30"/>
        <v>0</v>
      </c>
      <c r="F95" s="203">
        <f t="shared" si="30"/>
        <v>0</v>
      </c>
      <c r="G95" s="203">
        <f t="shared" si="30"/>
        <v>0</v>
      </c>
      <c r="H95" s="203">
        <f t="shared" si="30"/>
        <v>0</v>
      </c>
      <c r="I95" s="203">
        <f t="shared" si="30"/>
        <v>0</v>
      </c>
    </row>
    <row r="96" spans="1:9">
      <c r="A96" s="97" t="str">
        <f t="shared" si="27"/>
        <v>Tomato</v>
      </c>
      <c r="B96" s="230"/>
      <c r="C96" s="203">
        <f t="shared" ref="C96:I96" si="31">$B96*C43</f>
        <v>0</v>
      </c>
      <c r="D96" s="203">
        <f t="shared" si="31"/>
        <v>0</v>
      </c>
      <c r="E96" s="203">
        <f t="shared" si="31"/>
        <v>0</v>
      </c>
      <c r="F96" s="203">
        <f t="shared" si="31"/>
        <v>0</v>
      </c>
      <c r="G96" s="203">
        <f t="shared" si="31"/>
        <v>0</v>
      </c>
      <c r="H96" s="203">
        <f t="shared" si="31"/>
        <v>0</v>
      </c>
      <c r="I96" s="203">
        <f t="shared" si="31"/>
        <v>0</v>
      </c>
    </row>
    <row r="97" spans="1:9">
      <c r="A97" s="97" t="str">
        <f t="shared" si="27"/>
        <v>Okra</v>
      </c>
      <c r="B97" s="230"/>
      <c r="C97" s="203">
        <f t="shared" ref="C97:I97" si="32">$B97*C44</f>
        <v>0</v>
      </c>
      <c r="D97" s="203">
        <f t="shared" si="32"/>
        <v>0</v>
      </c>
      <c r="E97" s="203">
        <f t="shared" si="32"/>
        <v>0</v>
      </c>
      <c r="F97" s="203">
        <f t="shared" si="32"/>
        <v>0</v>
      </c>
      <c r="G97" s="203">
        <f t="shared" si="32"/>
        <v>0</v>
      </c>
      <c r="H97" s="203">
        <f t="shared" si="32"/>
        <v>0</v>
      </c>
      <c r="I97" s="203">
        <f t="shared" si="32"/>
        <v>0</v>
      </c>
    </row>
    <row r="98" spans="1:9">
      <c r="A98" s="97" t="str">
        <f t="shared" si="27"/>
        <v>Chilli</v>
      </c>
      <c r="B98" s="230"/>
      <c r="C98" s="203">
        <f t="shared" ref="C98:I98" si="33">$B98*C45</f>
        <v>0</v>
      </c>
      <c r="D98" s="203">
        <f t="shared" si="33"/>
        <v>0</v>
      </c>
      <c r="E98" s="203">
        <f t="shared" si="33"/>
        <v>0</v>
      </c>
      <c r="F98" s="203">
        <f t="shared" si="33"/>
        <v>0</v>
      </c>
      <c r="G98" s="203">
        <f t="shared" si="33"/>
        <v>0</v>
      </c>
      <c r="H98" s="203">
        <f t="shared" si="33"/>
        <v>0</v>
      </c>
      <c r="I98" s="203">
        <f t="shared" si="33"/>
        <v>0</v>
      </c>
    </row>
    <row r="99" spans="1:9">
      <c r="A99" s="97" t="str">
        <f t="shared" si="27"/>
        <v>Brinjal</v>
      </c>
      <c r="B99" s="230"/>
      <c r="C99" s="203">
        <f t="shared" ref="C99:I99" si="34">$B99*C46</f>
        <v>0</v>
      </c>
      <c r="D99" s="203">
        <f t="shared" si="34"/>
        <v>0</v>
      </c>
      <c r="E99" s="203">
        <f t="shared" si="34"/>
        <v>0</v>
      </c>
      <c r="F99" s="203">
        <f t="shared" si="34"/>
        <v>0</v>
      </c>
      <c r="G99" s="203">
        <f t="shared" si="34"/>
        <v>0</v>
      </c>
      <c r="H99" s="203">
        <f t="shared" si="34"/>
        <v>0</v>
      </c>
      <c r="I99" s="203">
        <f t="shared" si="34"/>
        <v>0</v>
      </c>
    </row>
    <row r="100" spans="1:9">
      <c r="A100" s="97">
        <f t="shared" si="27"/>
        <v>0</v>
      </c>
      <c r="B100" s="230"/>
      <c r="C100" s="203">
        <f t="shared" ref="C100:I100" si="35">$B100*C47</f>
        <v>0</v>
      </c>
      <c r="D100" s="203">
        <f t="shared" si="35"/>
        <v>0</v>
      </c>
      <c r="E100" s="203">
        <f t="shared" si="35"/>
        <v>0</v>
      </c>
      <c r="F100" s="203">
        <f t="shared" si="35"/>
        <v>0</v>
      </c>
      <c r="G100" s="203">
        <f t="shared" si="35"/>
        <v>0</v>
      </c>
      <c r="H100" s="203">
        <f t="shared" si="35"/>
        <v>0</v>
      </c>
      <c r="I100" s="203">
        <f t="shared" si="35"/>
        <v>0</v>
      </c>
    </row>
    <row r="101" spans="1:9">
      <c r="A101" s="97">
        <f t="shared" si="27"/>
        <v>0</v>
      </c>
      <c r="B101" s="230"/>
      <c r="C101" s="203">
        <f t="shared" ref="C101:I101" si="36">$B101*C48</f>
        <v>0</v>
      </c>
      <c r="D101" s="203">
        <f t="shared" si="36"/>
        <v>0</v>
      </c>
      <c r="E101" s="203">
        <f t="shared" si="36"/>
        <v>0</v>
      </c>
      <c r="F101" s="203">
        <f t="shared" si="36"/>
        <v>0</v>
      </c>
      <c r="G101" s="203">
        <f t="shared" si="36"/>
        <v>0</v>
      </c>
      <c r="H101" s="203">
        <f t="shared" si="36"/>
        <v>0</v>
      </c>
      <c r="I101" s="203">
        <f t="shared" si="36"/>
        <v>0</v>
      </c>
    </row>
    <row r="102" spans="1:9">
      <c r="A102" s="97">
        <f t="shared" si="27"/>
        <v>0</v>
      </c>
      <c r="B102" s="230"/>
      <c r="C102" s="203">
        <f t="shared" ref="C102:I102" si="37">$B102*C49</f>
        <v>0</v>
      </c>
      <c r="D102" s="203">
        <f t="shared" si="37"/>
        <v>0</v>
      </c>
      <c r="E102" s="203">
        <f t="shared" si="37"/>
        <v>0</v>
      </c>
      <c r="F102" s="203">
        <f t="shared" si="37"/>
        <v>0</v>
      </c>
      <c r="G102" s="203">
        <f t="shared" si="37"/>
        <v>0</v>
      </c>
      <c r="H102" s="203">
        <f t="shared" si="37"/>
        <v>0</v>
      </c>
      <c r="I102" s="203">
        <f t="shared" si="37"/>
        <v>0</v>
      </c>
    </row>
    <row r="103" spans="1:9">
      <c r="A103" s="97">
        <f t="shared" si="27"/>
        <v>0</v>
      </c>
      <c r="B103" s="230"/>
      <c r="C103" s="203">
        <f t="shared" ref="C103:I103" si="38">$B103*C50</f>
        <v>0</v>
      </c>
      <c r="D103" s="203">
        <f t="shared" si="38"/>
        <v>0</v>
      </c>
      <c r="E103" s="203">
        <f t="shared" si="38"/>
        <v>0</v>
      </c>
      <c r="F103" s="203">
        <f t="shared" si="38"/>
        <v>0</v>
      </c>
      <c r="G103" s="203">
        <f t="shared" si="38"/>
        <v>0</v>
      </c>
      <c r="H103" s="203">
        <f t="shared" si="38"/>
        <v>0</v>
      </c>
      <c r="I103" s="203">
        <f t="shared" si="38"/>
        <v>0</v>
      </c>
    </row>
    <row r="104" spans="1:9">
      <c r="A104" s="97">
        <f t="shared" si="27"/>
        <v>0</v>
      </c>
      <c r="B104" s="230"/>
      <c r="C104" s="203">
        <f t="shared" ref="C104:I104" si="39">$B104*C51</f>
        <v>0</v>
      </c>
      <c r="D104" s="203">
        <f t="shared" si="39"/>
        <v>0</v>
      </c>
      <c r="E104" s="203">
        <f t="shared" si="39"/>
        <v>0</v>
      </c>
      <c r="F104" s="203">
        <f t="shared" si="39"/>
        <v>0</v>
      </c>
      <c r="G104" s="203">
        <f t="shared" si="39"/>
        <v>0</v>
      </c>
      <c r="H104" s="203">
        <f t="shared" si="39"/>
        <v>0</v>
      </c>
      <c r="I104" s="203">
        <f t="shared" si="39"/>
        <v>0</v>
      </c>
    </row>
    <row r="105" spans="1:9">
      <c r="A105" s="97">
        <f t="shared" si="27"/>
        <v>0</v>
      </c>
      <c r="B105" s="230"/>
      <c r="C105" s="203">
        <f t="shared" ref="C105:I105" si="40">$B105*C52</f>
        <v>0</v>
      </c>
      <c r="D105" s="203">
        <f t="shared" si="40"/>
        <v>0</v>
      </c>
      <c r="E105" s="203">
        <f t="shared" si="40"/>
        <v>0</v>
      </c>
      <c r="F105" s="203">
        <f t="shared" si="40"/>
        <v>0</v>
      </c>
      <c r="G105" s="203">
        <f t="shared" si="40"/>
        <v>0</v>
      </c>
      <c r="H105" s="203">
        <f t="shared" si="40"/>
        <v>0</v>
      </c>
      <c r="I105" s="203">
        <f t="shared" si="40"/>
        <v>0</v>
      </c>
    </row>
    <row r="106" spans="1:9">
      <c r="A106" s="97">
        <f t="shared" si="27"/>
        <v>0</v>
      </c>
      <c r="B106" s="230"/>
      <c r="C106" s="203">
        <f t="shared" ref="C106:I106" si="41">$B106*C53</f>
        <v>0</v>
      </c>
      <c r="D106" s="203">
        <f t="shared" si="41"/>
        <v>0</v>
      </c>
      <c r="E106" s="203">
        <f t="shared" si="41"/>
        <v>0</v>
      </c>
      <c r="F106" s="203">
        <f t="shared" si="41"/>
        <v>0</v>
      </c>
      <c r="G106" s="203">
        <f t="shared" si="41"/>
        <v>0</v>
      </c>
      <c r="H106" s="203">
        <f t="shared" si="41"/>
        <v>0</v>
      </c>
      <c r="I106" s="203">
        <f t="shared" si="41"/>
        <v>0</v>
      </c>
    </row>
    <row r="107" spans="1:9">
      <c r="A107" s="97" t="str">
        <f t="shared" si="27"/>
        <v>Pomegranate</v>
      </c>
      <c r="B107" s="230"/>
      <c r="C107" s="203">
        <f t="shared" ref="C107:I107" si="42">$B107*C54</f>
        <v>0</v>
      </c>
      <c r="D107" s="203">
        <f t="shared" si="42"/>
        <v>0</v>
      </c>
      <c r="E107" s="203">
        <f t="shared" si="42"/>
        <v>0</v>
      </c>
      <c r="F107" s="203">
        <f t="shared" si="42"/>
        <v>0</v>
      </c>
      <c r="G107" s="203">
        <f t="shared" si="42"/>
        <v>0</v>
      </c>
      <c r="H107" s="203">
        <f t="shared" si="42"/>
        <v>0</v>
      </c>
      <c r="I107" s="203">
        <f t="shared" si="42"/>
        <v>0</v>
      </c>
    </row>
    <row r="108" spans="1:9">
      <c r="A108" s="97" t="str">
        <f t="shared" si="27"/>
        <v>Custard Apple</v>
      </c>
      <c r="B108" s="230"/>
      <c r="C108" s="203">
        <f t="shared" ref="C108:I108" si="43">$B108*C55</f>
        <v>0</v>
      </c>
      <c r="D108" s="203">
        <f t="shared" si="43"/>
        <v>0</v>
      </c>
      <c r="E108" s="203">
        <f t="shared" si="43"/>
        <v>0</v>
      </c>
      <c r="F108" s="203">
        <f t="shared" si="43"/>
        <v>0</v>
      </c>
      <c r="G108" s="203">
        <f t="shared" si="43"/>
        <v>0</v>
      </c>
      <c r="H108" s="203">
        <f t="shared" si="43"/>
        <v>0</v>
      </c>
      <c r="I108" s="203">
        <f t="shared" si="43"/>
        <v>0</v>
      </c>
    </row>
    <row r="109" spans="1:9">
      <c r="A109" s="97" t="str">
        <f t="shared" si="27"/>
        <v>Guava</v>
      </c>
      <c r="B109" s="230"/>
      <c r="C109" s="203">
        <f t="shared" ref="C109:I109" si="44">$B109*C56</f>
        <v>0</v>
      </c>
      <c r="D109" s="203">
        <f t="shared" si="44"/>
        <v>0</v>
      </c>
      <c r="E109" s="203">
        <f t="shared" si="44"/>
        <v>0</v>
      </c>
      <c r="F109" s="203">
        <f t="shared" si="44"/>
        <v>0</v>
      </c>
      <c r="G109" s="203">
        <f t="shared" si="44"/>
        <v>0</v>
      </c>
      <c r="H109" s="203">
        <f t="shared" si="44"/>
        <v>0</v>
      </c>
      <c r="I109" s="203">
        <f t="shared" si="44"/>
        <v>0</v>
      </c>
    </row>
    <row r="110" spans="1:9">
      <c r="A110" s="97" t="str">
        <f t="shared" si="27"/>
        <v>Citrus</v>
      </c>
      <c r="B110" s="230"/>
      <c r="C110" s="203">
        <f t="shared" ref="C110:I110" si="45">$B110*C57</f>
        <v>0</v>
      </c>
      <c r="D110" s="203">
        <f t="shared" si="45"/>
        <v>0</v>
      </c>
      <c r="E110" s="203">
        <f t="shared" si="45"/>
        <v>0</v>
      </c>
      <c r="F110" s="203">
        <f t="shared" si="45"/>
        <v>0</v>
      </c>
      <c r="G110" s="203">
        <f t="shared" si="45"/>
        <v>0</v>
      </c>
      <c r="H110" s="203">
        <f t="shared" si="45"/>
        <v>0</v>
      </c>
      <c r="I110" s="203">
        <f t="shared" si="45"/>
        <v>0</v>
      </c>
    </row>
    <row r="111" spans="1:9">
      <c r="A111" s="97"/>
      <c r="B111" s="230"/>
      <c r="C111" s="203"/>
      <c r="D111" s="203"/>
      <c r="E111" s="203"/>
      <c r="F111" s="203"/>
      <c r="G111" s="203"/>
      <c r="H111" s="203"/>
      <c r="I111" s="203"/>
    </row>
    <row r="112" spans="1:9">
      <c r="A112" s="97"/>
      <c r="B112" s="230"/>
      <c r="C112" s="203"/>
      <c r="D112" s="203"/>
      <c r="E112" s="203"/>
      <c r="F112" s="203"/>
      <c r="G112" s="203"/>
      <c r="H112" s="203"/>
      <c r="I112" s="203"/>
    </row>
    <row r="113" spans="1:23">
      <c r="A113" s="99" t="s">
        <v>185</v>
      </c>
      <c r="B113" s="97"/>
      <c r="C113" s="97"/>
      <c r="D113" s="97"/>
      <c r="E113" s="97"/>
      <c r="F113" s="97"/>
      <c r="G113" s="97"/>
      <c r="H113" s="97"/>
      <c r="I113" s="97"/>
    </row>
    <row r="114" spans="1:23">
      <c r="A114" s="97" t="s">
        <v>412</v>
      </c>
      <c r="B114" s="230">
        <v>100</v>
      </c>
      <c r="C114" s="203">
        <f>SUM(C62:C110)*$B$114</f>
        <v>1824767.9999999998</v>
      </c>
      <c r="D114" s="203">
        <f t="shared" ref="D114:I114" si="46">SUM(D62:D110)*$B$114</f>
        <v>2052864</v>
      </c>
      <c r="E114" s="203">
        <f t="shared" si="46"/>
        <v>2280960.0000000005</v>
      </c>
      <c r="F114" s="203">
        <f t="shared" si="46"/>
        <v>2509056.0000000005</v>
      </c>
      <c r="G114" s="203">
        <f t="shared" si="46"/>
        <v>2737152.0000000009</v>
      </c>
      <c r="H114" s="203">
        <f t="shared" si="46"/>
        <v>2965248.0000000005</v>
      </c>
      <c r="I114" s="203">
        <f t="shared" si="46"/>
        <v>3193344.0000000009</v>
      </c>
    </row>
    <row r="115" spans="1:23">
      <c r="A115" s="97" t="s">
        <v>179</v>
      </c>
      <c r="B115" s="230">
        <v>30</v>
      </c>
      <c r="C115" s="203">
        <f>SUM(C62:C110)*$B$115</f>
        <v>547430.39999999991</v>
      </c>
      <c r="D115" s="203">
        <f t="shared" ref="D115:I115" si="47">SUM(D62:D110)*$B$115</f>
        <v>615859.19999999995</v>
      </c>
      <c r="E115" s="203">
        <f t="shared" si="47"/>
        <v>684288.00000000023</v>
      </c>
      <c r="F115" s="203">
        <f t="shared" si="47"/>
        <v>752716.80000000016</v>
      </c>
      <c r="G115" s="203">
        <f t="shared" si="47"/>
        <v>821145.60000000021</v>
      </c>
      <c r="H115" s="203">
        <f t="shared" si="47"/>
        <v>889574.40000000014</v>
      </c>
      <c r="I115" s="203">
        <f t="shared" si="47"/>
        <v>958003.2000000003</v>
      </c>
    </row>
    <row r="116" spans="1:23">
      <c r="A116" s="97" t="s">
        <v>181</v>
      </c>
      <c r="B116" s="230">
        <v>30</v>
      </c>
      <c r="C116" s="203">
        <f>SUM(C62:C110)*$B$116</f>
        <v>547430.39999999991</v>
      </c>
      <c r="D116" s="203">
        <f t="shared" ref="D116:I116" si="48">SUM(D62:D110)*$B$116</f>
        <v>615859.19999999995</v>
      </c>
      <c r="E116" s="203">
        <f t="shared" si="48"/>
        <v>684288.00000000023</v>
      </c>
      <c r="F116" s="203">
        <f t="shared" si="48"/>
        <v>752716.80000000016</v>
      </c>
      <c r="G116" s="203">
        <f t="shared" si="48"/>
        <v>821145.60000000021</v>
      </c>
      <c r="H116" s="203">
        <f t="shared" si="48"/>
        <v>889574.40000000014</v>
      </c>
      <c r="I116" s="203">
        <f t="shared" si="48"/>
        <v>958003.2000000003</v>
      </c>
    </row>
    <row r="117" spans="1:23">
      <c r="A117" s="99" t="s">
        <v>180</v>
      </c>
      <c r="B117" s="230"/>
      <c r="C117" s="97"/>
      <c r="D117" s="97"/>
      <c r="E117" s="97"/>
      <c r="F117" s="97"/>
      <c r="G117" s="97"/>
      <c r="H117" s="97"/>
      <c r="I117" s="97"/>
    </row>
    <row r="118" spans="1:23">
      <c r="A118" s="97" t="s">
        <v>186</v>
      </c>
      <c r="B118" s="230">
        <v>0.2</v>
      </c>
      <c r="C118" s="203">
        <f>SUM(C62:C110)*$B$118</f>
        <v>3649.5359999999996</v>
      </c>
      <c r="D118" s="203">
        <f t="shared" ref="D118:I118" si="49">SUM(D62:D110)*$B$118</f>
        <v>4105.7280000000001</v>
      </c>
      <c r="E118" s="203">
        <f t="shared" si="49"/>
        <v>4561.920000000001</v>
      </c>
      <c r="F118" s="203">
        <f t="shared" si="49"/>
        <v>5018.112000000001</v>
      </c>
      <c r="G118" s="203">
        <f t="shared" si="49"/>
        <v>5474.3040000000019</v>
      </c>
      <c r="H118" s="203">
        <f t="shared" si="49"/>
        <v>5930.496000000001</v>
      </c>
      <c r="I118" s="203">
        <f t="shared" si="49"/>
        <v>6386.6880000000019</v>
      </c>
    </row>
    <row r="119" spans="1:23">
      <c r="A119" s="97" t="s">
        <v>734</v>
      </c>
      <c r="B119" s="230">
        <v>0.5</v>
      </c>
      <c r="C119" s="203">
        <f>SUM(C62:C110)*$B$119</f>
        <v>9123.8399999999983</v>
      </c>
      <c r="D119" s="203">
        <f t="shared" ref="D119:I119" si="50">SUM(D62:D110)*$B$119</f>
        <v>10264.32</v>
      </c>
      <c r="E119" s="203">
        <f t="shared" si="50"/>
        <v>11404.800000000003</v>
      </c>
      <c r="F119" s="203">
        <f t="shared" si="50"/>
        <v>12545.280000000002</v>
      </c>
      <c r="G119" s="203">
        <f t="shared" si="50"/>
        <v>13685.760000000004</v>
      </c>
      <c r="H119" s="203">
        <f t="shared" si="50"/>
        <v>14826.240000000002</v>
      </c>
      <c r="I119" s="203">
        <f t="shared" si="50"/>
        <v>15966.720000000005</v>
      </c>
    </row>
    <row r="122" spans="1:23" ht="17.399999999999999">
      <c r="A122" s="428" t="s">
        <v>599</v>
      </c>
      <c r="B122" s="428"/>
      <c r="C122" s="428"/>
      <c r="D122" s="428"/>
      <c r="E122" s="428"/>
      <c r="F122" s="428"/>
      <c r="G122" s="428"/>
      <c r="H122" s="428"/>
      <c r="I122" s="428"/>
      <c r="J122" s="428"/>
    </row>
    <row r="123" spans="1:23">
      <c r="A123" s="30"/>
      <c r="B123" s="60"/>
      <c r="C123" s="30"/>
      <c r="D123" s="30"/>
      <c r="E123" s="30"/>
      <c r="F123" s="30"/>
      <c r="G123" s="30"/>
      <c r="H123" s="30"/>
    </row>
    <row r="124" spans="1:23">
      <c r="A124" s="189"/>
      <c r="B124" s="189"/>
      <c r="C124" s="189"/>
      <c r="D124" s="190">
        <v>1</v>
      </c>
      <c r="E124" s="191">
        <f>(D124*5%)+D124</f>
        <v>1.05</v>
      </c>
      <c r="F124" s="191">
        <f t="shared" ref="F124:J124" si="51">(E124*5%)+E124</f>
        <v>1.1025</v>
      </c>
      <c r="G124" s="191">
        <f t="shared" si="51"/>
        <v>1.1576250000000001</v>
      </c>
      <c r="H124" s="191">
        <f t="shared" si="51"/>
        <v>1.2155062500000002</v>
      </c>
      <c r="I124" s="191">
        <f t="shared" si="51"/>
        <v>1.2762815625000004</v>
      </c>
      <c r="J124" s="191">
        <f t="shared" si="51"/>
        <v>1.3400956406250004</v>
      </c>
      <c r="K124" s="92"/>
      <c r="U124" s="92"/>
      <c r="V124" s="92"/>
      <c r="W124" s="92"/>
    </row>
    <row r="125" spans="1:23">
      <c r="A125" s="92"/>
      <c r="B125" s="92"/>
      <c r="C125" s="92"/>
      <c r="D125" s="92"/>
      <c r="E125" s="92"/>
      <c r="F125" s="92"/>
      <c r="G125" s="92"/>
      <c r="H125" s="92"/>
      <c r="I125" s="92"/>
      <c r="J125" s="92"/>
      <c r="K125" s="92"/>
      <c r="U125" s="92"/>
      <c r="V125" s="92"/>
      <c r="W125" s="92"/>
    </row>
    <row r="126" spans="1:23">
      <c r="A126" s="146" t="s">
        <v>0</v>
      </c>
      <c r="B126" s="146" t="s">
        <v>132</v>
      </c>
      <c r="C126" s="146" t="s">
        <v>153</v>
      </c>
      <c r="D126" s="118" t="s">
        <v>2</v>
      </c>
      <c r="E126" s="118" t="s">
        <v>3</v>
      </c>
      <c r="F126" s="118" t="s">
        <v>4</v>
      </c>
      <c r="G126" s="118" t="s">
        <v>5</v>
      </c>
      <c r="H126" s="118" t="s">
        <v>6</v>
      </c>
      <c r="I126" s="118" t="s">
        <v>170</v>
      </c>
      <c r="J126" s="118" t="s">
        <v>169</v>
      </c>
      <c r="K126" s="92"/>
      <c r="U126" s="92"/>
      <c r="V126" s="92"/>
      <c r="W126" s="92"/>
    </row>
    <row r="127" spans="1:23">
      <c r="A127" s="95" t="s">
        <v>126</v>
      </c>
      <c r="B127" s="93"/>
      <c r="C127" s="93"/>
      <c r="D127" s="93"/>
      <c r="E127" s="93"/>
      <c r="F127" s="93"/>
      <c r="G127" s="93"/>
      <c r="H127" s="93"/>
      <c r="I127" s="93"/>
      <c r="J127" s="93"/>
      <c r="K127" s="92"/>
      <c r="U127" s="92"/>
      <c r="V127" s="92"/>
      <c r="W127" s="92"/>
    </row>
    <row r="128" spans="1:23">
      <c r="A128" s="93" t="s">
        <v>287</v>
      </c>
      <c r="B128" s="93"/>
      <c r="C128" s="93"/>
      <c r="D128" s="93"/>
      <c r="E128" s="93"/>
      <c r="F128" s="93"/>
      <c r="G128" s="93"/>
      <c r="H128" s="93"/>
      <c r="I128" s="93"/>
      <c r="J128" s="93"/>
      <c r="K128" s="92"/>
      <c r="U128" s="92"/>
      <c r="V128" s="92"/>
      <c r="W128" s="92"/>
    </row>
    <row r="129" spans="1:23">
      <c r="A129" s="95" t="str">
        <f t="shared" ref="A129:A160" si="52">A8</f>
        <v>Kharif Crops</v>
      </c>
      <c r="B129" s="93"/>
      <c r="C129" s="93"/>
      <c r="D129" s="93"/>
      <c r="E129" s="93"/>
      <c r="F129" s="93"/>
      <c r="G129" s="93"/>
      <c r="H129" s="93"/>
      <c r="I129" s="93"/>
      <c r="J129" s="93"/>
      <c r="K129" s="92"/>
      <c r="U129" s="92"/>
      <c r="V129" s="92"/>
      <c r="W129" s="92"/>
    </row>
    <row r="130" spans="1:23">
      <c r="A130" s="93" t="str">
        <f t="shared" si="52"/>
        <v>Soybean</v>
      </c>
      <c r="B130" s="93"/>
      <c r="C130" s="230">
        <v>100</v>
      </c>
      <c r="D130" s="94">
        <f>(C62*(1-'5.Closing Stock &amp; W Capital'!$D$15))*$C$130*D$124</f>
        <v>1379980.7999999998</v>
      </c>
      <c r="E130" s="94">
        <f>(D62*(1-'5.Closing Stock &amp; W Capital'!$D$15))*$C$130*E$124</f>
        <v>1630102.32</v>
      </c>
      <c r="F130" s="94">
        <f>(E62*(1-'5.Closing Stock &amp; W Capital'!$D$15))*$C$130*F$124</f>
        <v>1901786.0400000003</v>
      </c>
      <c r="G130" s="94">
        <f>(F62*(1-'5.Closing Stock &amp; W Capital'!$D$15))*$C$130*G$124</f>
        <v>2196562.8762000003</v>
      </c>
      <c r="H130" s="94">
        <f>(G62*(1-'5.Closing Stock &amp; W Capital'!$D$15))*$C$130*H$124</f>
        <v>2516062.9309200011</v>
      </c>
      <c r="I130" s="94">
        <f>(H62*(1-'5.Closing Stock &amp; W Capital'!$D$15))*$C$130*I$124</f>
        <v>2862021.5839215019</v>
      </c>
      <c r="J130" s="94">
        <f>(I62*(1-'5.Closing Stock &amp; W Capital'!$D$15))*$C$130*J$124</f>
        <v>3236285.9448958524</v>
      </c>
      <c r="K130" s="92"/>
      <c r="U130" s="92"/>
      <c r="V130" s="92"/>
      <c r="W130" s="92"/>
    </row>
    <row r="131" spans="1:23">
      <c r="A131" s="93" t="str">
        <f t="shared" si="52"/>
        <v>Red Gram/Tur</v>
      </c>
      <c r="B131" s="93"/>
      <c r="C131" s="254">
        <v>100</v>
      </c>
      <c r="D131" s="94">
        <f>(C63*(1-'5.Closing Stock &amp; W Capital'!$D$15))*$C$131*D$124</f>
        <v>26136</v>
      </c>
      <c r="E131" s="94">
        <f>((D63*(1-'5.Closing Stock &amp; W Capital'!$D$15))+(C63*'5.Closing Stock &amp; W Capital'!$D$15))*$C$131*E$124</f>
        <v>31150.35</v>
      </c>
      <c r="F131" s="94">
        <f>((E63*(1-'5.Closing Stock &amp; W Capital'!$D$15))+(D63*'5.Closing Stock &amp; W Capital'!$D$15))*$C$131*F$124</f>
        <v>36346.1175</v>
      </c>
      <c r="G131" s="94">
        <f>((F63*(1-'5.Closing Stock &amp; W Capital'!$D$15))+(E63*'5.Closing Stock &amp; W Capital'!$D$15))*$C$131*G124</f>
        <v>41983.585875000012</v>
      </c>
      <c r="H131" s="94">
        <f>((G63*(1-'5.Closing Stock &amp; W Capital'!$D$15))+(F63*'5.Closing Stock &amp; W Capital'!$D$15))*$C$131*H124</f>
        <v>48093.935793750024</v>
      </c>
      <c r="I131" s="94">
        <f>((H63*(1-'5.Closing Stock &amp; W Capital'!$D$15))+(G63*'5.Closing Stock &amp; W Capital'!$D$15))*$C$131*I124</f>
        <v>54710.361739687512</v>
      </c>
      <c r="J131" s="94">
        <f>((I63*(1-'5.Closing Stock &amp; W Capital'!$D$15))+(H63*'5.Closing Stock &amp; W Capital'!$D$15))*$C$131*J124</f>
        <v>61868.195440734416</v>
      </c>
      <c r="K131" s="92"/>
      <c r="U131" s="176"/>
      <c r="V131" s="92"/>
      <c r="W131" s="92"/>
    </row>
    <row r="132" spans="1:23">
      <c r="A132" s="93" t="str">
        <f t="shared" si="52"/>
        <v>Paddy/Rice</v>
      </c>
      <c r="B132" s="93"/>
      <c r="C132" s="254">
        <v>65</v>
      </c>
      <c r="D132" s="94">
        <f>(C64*(1-'5.Closing Stock &amp; W Capital'!$D$15))*$C$132*D$124</f>
        <v>0</v>
      </c>
      <c r="E132" s="94">
        <f>((D64*(1-'5.Closing Stock &amp; W Capital'!$D$15))+(C64*'5.Closing Stock &amp; W Capital'!$D$15))*$C$132*E$124</f>
        <v>0</v>
      </c>
      <c r="F132" s="94">
        <f>((E64*(1-'5.Closing Stock &amp; W Capital'!$D$15))+(D64*'5.Closing Stock &amp; W Capital'!$D$15))*$C$132*F$124</f>
        <v>0</v>
      </c>
      <c r="G132" s="94">
        <f>((F64*(1-'5.Closing Stock &amp; W Capital'!$D$15))+(E64*'5.Closing Stock &amp; W Capital'!$D$15))*$C$132*G124</f>
        <v>0</v>
      </c>
      <c r="H132" s="94">
        <f>((G64*(1-'5.Closing Stock &amp; W Capital'!$D$15))+(F64*'5.Closing Stock &amp; W Capital'!$D$15))*$C$132*H124</f>
        <v>0</v>
      </c>
      <c r="I132" s="94">
        <f>((H64*(1-'5.Closing Stock &amp; W Capital'!$D$15))+(G64*'5.Closing Stock &amp; W Capital'!$D$15))*$C$132*I124</f>
        <v>0</v>
      </c>
      <c r="J132" s="94">
        <f>((I64*(1-'5.Closing Stock &amp; W Capital'!$D$15))+(H64*'5.Closing Stock &amp; W Capital'!$D$15))*$C$132*J124</f>
        <v>0</v>
      </c>
      <c r="K132" s="92"/>
      <c r="U132" s="92"/>
      <c r="V132" s="92"/>
      <c r="W132" s="92"/>
    </row>
    <row r="133" spans="1:23">
      <c r="A133" s="93" t="str">
        <f t="shared" si="52"/>
        <v>Green Gram/ Moong</v>
      </c>
      <c r="B133" s="93"/>
      <c r="C133" s="254">
        <v>85</v>
      </c>
      <c r="D133" s="94">
        <f>(C65*(1-'5.Closing Stock &amp; W Capital'!$D$15))*$C$133*D$124</f>
        <v>3332.3400000000006</v>
      </c>
      <c r="E133" s="94">
        <f>((D65*(1-'5.Closing Stock &amp; W Capital'!$D$15))+(C65*'5.Closing Stock &amp; W Capital'!$D$15))*$C$133*E$124</f>
        <v>3971.6696250000014</v>
      </c>
      <c r="F133" s="94">
        <f>((E65*(1-'5.Closing Stock &amp; W Capital'!$D$15))+(D65*'5.Closing Stock &amp; W Capital'!$D$15))*$C$133*F$124</f>
        <v>4634.1299812500019</v>
      </c>
      <c r="G133" s="94">
        <f>((F65*(1-'5.Closing Stock &amp; W Capital'!$D$15))+(E65*'5.Closing Stock &amp; W Capital'!$D$15))*$C$133*G$124</f>
        <v>5352.9071990625025</v>
      </c>
      <c r="H133" s="94">
        <f>((G65*(1-'5.Closing Stock &amp; W Capital'!$D$15))+(F65*'5.Closing Stock &amp; W Capital'!$D$15))*$C$133*H$124</f>
        <v>6131.9768137031278</v>
      </c>
      <c r="I133" s="94">
        <f>((H65*(1-'5.Closing Stock &amp; W Capital'!$D$15))+(G65*'5.Closing Stock &amp; W Capital'!$D$15))*$C$133*I$124</f>
        <v>6975.5711218101596</v>
      </c>
      <c r="J133" s="94">
        <f>((I65*(1-'5.Closing Stock &amp; W Capital'!$D$15))+(H65*'5.Closing Stock &amp; W Capital'!$D$15))*$C$133*J$124</f>
        <v>7888.1949186936381</v>
      </c>
      <c r="K133" s="92"/>
      <c r="U133" s="92"/>
      <c r="V133" s="92"/>
      <c r="W133" s="92"/>
    </row>
    <row r="134" spans="1:23">
      <c r="A134" s="93" t="str">
        <f t="shared" si="52"/>
        <v>Maize</v>
      </c>
      <c r="B134" s="93"/>
      <c r="C134" s="254">
        <v>37</v>
      </c>
      <c r="D134" s="94">
        <f>(C66*(1-'5.Closing Stock &amp; W Capital'!$D$15))*$C$134*D$124</f>
        <v>0</v>
      </c>
      <c r="E134" s="94">
        <f>((D66*(1-'5.Closing Stock &amp; W Capital'!$D$15))+(C66*'5.Closing Stock &amp; W Capital'!$D$15))*$C$135*E$124</f>
        <v>0</v>
      </c>
      <c r="F134" s="94">
        <f>((E66*(1-'5.Closing Stock &amp; W Capital'!$D$15))+(D66*'5.Closing Stock &amp; W Capital'!$D$15))*$C$135*F$124</f>
        <v>0</v>
      </c>
      <c r="G134" s="94">
        <f>((F66*(1-'5.Closing Stock &amp; W Capital'!$D$15))+(E66*'5.Closing Stock &amp; W Capital'!$D$15))*$C$135*G$124</f>
        <v>0</v>
      </c>
      <c r="H134" s="94">
        <f>((G66*(1-'5.Closing Stock &amp; W Capital'!$D$15))+(F66*'5.Closing Stock &amp; W Capital'!$D$15))*$C$135*H$124</f>
        <v>0</v>
      </c>
      <c r="I134" s="94">
        <f>((H66*(1-'5.Closing Stock &amp; W Capital'!$D$15))+(G66*'5.Closing Stock &amp; W Capital'!$D$15))*$C$135*I$124</f>
        <v>0</v>
      </c>
      <c r="J134" s="94">
        <f>((I66*(1-'5.Closing Stock &amp; W Capital'!$D$15))+(H66*'5.Closing Stock &amp; W Capital'!$D$15))*$C$135*J$124</f>
        <v>0</v>
      </c>
      <c r="K134" s="92"/>
      <c r="U134" s="92"/>
      <c r="V134" s="92"/>
      <c r="W134" s="92"/>
    </row>
    <row r="135" spans="1:23">
      <c r="A135" s="93" t="str">
        <f t="shared" si="52"/>
        <v>Black Gram/Udid</v>
      </c>
      <c r="B135" s="93"/>
      <c r="C135" s="254">
        <v>75</v>
      </c>
      <c r="D135" s="94">
        <f>(C67*(1-'5.Closing Stock &amp; W Capital'!$D$15))*$C$135*D$124</f>
        <v>0</v>
      </c>
      <c r="E135" s="94">
        <f>((D67*(1-'5.Closing Stock &amp; W Capital'!$D$15))+(C67*'5.Closing Stock &amp; W Capital'!$D$15))*$C$135*E$124</f>
        <v>0</v>
      </c>
      <c r="F135" s="94">
        <f>((E67*(1-'5.Closing Stock &amp; W Capital'!$D$15))+(D67*'5.Closing Stock &amp; W Capital'!$D$15))*$C$135*F$124</f>
        <v>0</v>
      </c>
      <c r="G135" s="94">
        <f>((F67*(1-'5.Closing Stock &amp; W Capital'!$D$15))+(E67*'5.Closing Stock &amp; W Capital'!$D$15))*$C$135*G$124</f>
        <v>0</v>
      </c>
      <c r="H135" s="94">
        <f>((G67*(1-'5.Closing Stock &amp; W Capital'!$D$15))+(F67*'5.Closing Stock &amp; W Capital'!$D$15))*$C$135*H$124</f>
        <v>0</v>
      </c>
      <c r="I135" s="94">
        <f>((H67*(1-'5.Closing Stock &amp; W Capital'!$D$15))+(G67*'5.Closing Stock &amp; W Capital'!$D$15))*$C$135*I$124</f>
        <v>0</v>
      </c>
      <c r="J135" s="94">
        <f>((I67*(1-'5.Closing Stock &amp; W Capital'!$D$15))+(H67*'5.Closing Stock &amp; W Capital'!$D$15))*$C$135*J$124</f>
        <v>0</v>
      </c>
      <c r="K135" s="92"/>
      <c r="U135" s="92"/>
      <c r="V135" s="92"/>
      <c r="W135" s="92"/>
    </row>
    <row r="136" spans="1:23">
      <c r="A136" s="93" t="str">
        <f t="shared" si="52"/>
        <v>Bajra</v>
      </c>
      <c r="B136" s="93"/>
      <c r="C136" s="254">
        <v>30</v>
      </c>
      <c r="D136" s="94">
        <f>(C68*(1-'5.Closing Stock &amp; W Capital'!$D$15))*$C$136*D$124</f>
        <v>0</v>
      </c>
      <c r="E136" s="94">
        <f>((D68*(1-'5.Closing Stock &amp; W Capital'!$D$15))+(C68*'5.Closing Stock &amp; W Capital'!$D$15))*$C$136*E$124</f>
        <v>0</v>
      </c>
      <c r="F136" s="94">
        <f>((E68*(1-'5.Closing Stock &amp; W Capital'!$D$15))+(D68*'5.Closing Stock &amp; W Capital'!$D$15))*$C$136*F$124</f>
        <v>0</v>
      </c>
      <c r="G136" s="94">
        <f>((F68*(1-'5.Closing Stock &amp; W Capital'!$D$15))+(E68*'5.Closing Stock &amp; W Capital'!$D$15))*$C$136*G$124</f>
        <v>0</v>
      </c>
      <c r="H136" s="94">
        <f>((G68*(1-'5.Closing Stock &amp; W Capital'!$D$15))+(F68*'5.Closing Stock &amp; W Capital'!$D$15))*$C$136*H$124</f>
        <v>0</v>
      </c>
      <c r="I136" s="94">
        <f>((H68*(1-'5.Closing Stock &amp; W Capital'!$D$15))+(G68*'5.Closing Stock &amp; W Capital'!$D$15))*$C$136*I$124</f>
        <v>0</v>
      </c>
      <c r="J136" s="94">
        <f>((I68*(1-'5.Closing Stock &amp; W Capital'!$D$15))+(H68*'5.Closing Stock &amp; W Capital'!$D$15))*$C$136*J$124</f>
        <v>0</v>
      </c>
      <c r="K136" s="92"/>
      <c r="U136" s="92"/>
      <c r="V136" s="92"/>
      <c r="W136" s="92"/>
    </row>
    <row r="137" spans="1:23">
      <c r="A137" s="93" t="str">
        <f t="shared" si="52"/>
        <v>Jawar</v>
      </c>
      <c r="B137" s="93"/>
      <c r="C137" s="254">
        <v>30</v>
      </c>
      <c r="D137" s="94">
        <f>(C69*(1-'5.Closing Stock &amp; W Capital'!$D$15))*$C$137*D$124</f>
        <v>392.04000000000008</v>
      </c>
      <c r="E137" s="94">
        <f>((D69*(1-'5.Closing Stock &amp; W Capital'!$D$15))+(C69*'5.Closing Stock &amp; W Capital'!$D$15))*$C$137*E$124</f>
        <v>467.25525000000005</v>
      </c>
      <c r="F137" s="94">
        <f>((E69*(1-'5.Closing Stock &amp; W Capital'!$D$15))+(D69*'5.Closing Stock &amp; W Capital'!$D$15))*$C$137*F$124</f>
        <v>545.1917625000001</v>
      </c>
      <c r="G137" s="94">
        <f>((F69*(1-'5.Closing Stock &amp; W Capital'!$D$15))+(E69*'5.Closing Stock &amp; W Capital'!$D$15))*$C$137*G$124</f>
        <v>629.75378812500014</v>
      </c>
      <c r="H137" s="94">
        <f>((G69*(1-'5.Closing Stock &amp; W Capital'!$D$15))+(F69*'5.Closing Stock &amp; W Capital'!$D$15))*$C$137*H$124</f>
        <v>721.40903690625044</v>
      </c>
      <c r="I137" s="94">
        <f>((H69*(1-'5.Closing Stock &amp; W Capital'!$D$15))+(G69*'5.Closing Stock &amp; W Capital'!$D$15))*$C$137*I$124</f>
        <v>820.65542609531315</v>
      </c>
      <c r="J137" s="94">
        <f>((I69*(1-'5.Closing Stock &amp; W Capital'!$D$15))+(H69*'5.Closing Stock &amp; W Capital'!$D$15))*$C$137*J$124</f>
        <v>928.02293161101625</v>
      </c>
      <c r="K137" s="92"/>
      <c r="U137" s="92"/>
      <c r="V137" s="92"/>
      <c r="W137" s="92"/>
    </row>
    <row r="138" spans="1:23">
      <c r="A138" s="95" t="str">
        <f t="shared" si="52"/>
        <v>Rabi Crop</v>
      </c>
      <c r="B138" s="93"/>
      <c r="C138" s="254"/>
      <c r="D138" s="94"/>
      <c r="E138" s="94"/>
      <c r="F138" s="94"/>
      <c r="G138" s="94"/>
      <c r="H138" s="94"/>
      <c r="I138" s="94"/>
      <c r="J138" s="94"/>
      <c r="K138" s="92"/>
      <c r="U138" s="92"/>
      <c r="V138" s="92"/>
      <c r="W138" s="92"/>
    </row>
    <row r="139" spans="1:23">
      <c r="A139" s="93" t="str">
        <f t="shared" si="52"/>
        <v>Wheat</v>
      </c>
      <c r="B139" s="93"/>
      <c r="C139" s="254">
        <v>40</v>
      </c>
      <c r="D139" s="94">
        <f>(C71*(1-'5.Closing Stock &amp; W Capital'!$D$15))*$C$139*D$124</f>
        <v>5018.1120000000001</v>
      </c>
      <c r="E139" s="94">
        <f>((D71*(1-'5.Closing Stock &amp; W Capital'!$D$15))+(C71*'5.Closing Stock &amp; W Capital'!$D$15))*$C$139*E$124</f>
        <v>5980.8672000000006</v>
      </c>
      <c r="F139" s="94">
        <f>((E71*(1-'5.Closing Stock &amp; W Capital'!$D$15))+(D71*'5.Closing Stock &amp; W Capital'!$D$15))*$C$139*F$124</f>
        <v>6978.454560000001</v>
      </c>
      <c r="G139" s="94">
        <f>((F71*(1-'5.Closing Stock &amp; W Capital'!$D$15))+(E71*'5.Closing Stock &amp; W Capital'!$D$15))*$C$139*G$124</f>
        <v>8060.8484880000015</v>
      </c>
      <c r="H139" s="94">
        <f>((G71*(1-'5.Closing Stock &amp; W Capital'!$D$15))+(F71*'5.Closing Stock &amp; W Capital'!$D$15))*$C$139*H$124</f>
        <v>9234.0356724000012</v>
      </c>
      <c r="I139" s="94">
        <f>((H71*(1-'5.Closing Stock &amp; W Capital'!$D$15))+(G71*'5.Closing Stock &amp; W Capital'!$D$15))*$C$139*I$124</f>
        <v>10504.389454020004</v>
      </c>
      <c r="J139" s="94">
        <f>((I71*(1-'5.Closing Stock &amp; W Capital'!$D$15))+(H71*'5.Closing Stock &amp; W Capital'!$D$15))*$C$139*J$124</f>
        <v>11878.693524621003</v>
      </c>
      <c r="K139" s="92"/>
      <c r="U139" s="92"/>
      <c r="V139" s="92"/>
      <c r="W139" s="92"/>
    </row>
    <row r="140" spans="1:23">
      <c r="A140" s="93" t="str">
        <f t="shared" si="52"/>
        <v>Bengal Gram/Channa</v>
      </c>
      <c r="B140" s="93"/>
      <c r="C140" s="254">
        <v>75</v>
      </c>
      <c r="D140" s="94">
        <f>(C72*(1-'5.Closing Stock &amp; W Capital'!$D$15))*$C$140*D$124</f>
        <v>282268.80000000005</v>
      </c>
      <c r="E140" s="94">
        <f>((D72*(1-'5.Closing Stock &amp; W Capital'!$D$15))+(C72*'5.Closing Stock &amp; W Capital'!$D$15))*$C$140*E$124</f>
        <v>336423.77999999997</v>
      </c>
      <c r="F140" s="94">
        <f>((E72*(1-'5.Closing Stock &amp; W Capital'!$D$15))+(D72*'5.Closing Stock &amp; W Capital'!$D$15))*$C$140*F$124</f>
        <v>392538.06899999996</v>
      </c>
      <c r="G140" s="94">
        <f>((F72*(1-'5.Closing Stock &amp; W Capital'!$D$15))+(E72*'5.Closing Stock &amp; W Capital'!$D$15))*$C$140*G$124</f>
        <v>453422.72745000018</v>
      </c>
      <c r="H140" s="94">
        <f>((G72*(1-'5.Closing Stock &amp; W Capital'!$D$15))+(F72*'5.Closing Stock &amp; W Capital'!$D$15))*$C$140*H$124</f>
        <v>519414.50657250022</v>
      </c>
      <c r="I140" s="94">
        <f>((H72*(1-'5.Closing Stock &amp; W Capital'!$D$15))+(G72*'5.Closing Stock &amp; W Capital'!$D$15))*$C$140*I$124</f>
        <v>590871.90678862541</v>
      </c>
      <c r="J140" s="94">
        <f>((I72*(1-'5.Closing Stock &amp; W Capital'!$D$15))+(H72*'5.Closing Stock &amp; W Capital'!$D$15))*$C$140*J$124</f>
        <v>668176.51075993164</v>
      </c>
      <c r="K140" s="92"/>
      <c r="U140" s="92"/>
      <c r="V140" s="92"/>
      <c r="W140" s="92"/>
    </row>
    <row r="141" spans="1:23">
      <c r="A141" s="93" t="str">
        <f t="shared" si="52"/>
        <v>Jawar</v>
      </c>
      <c r="B141" s="93"/>
      <c r="C141" s="254">
        <v>27</v>
      </c>
      <c r="D141" s="94">
        <f>(C73*(1-'5.Closing Stock &amp; W Capital'!$D$15))*$C$141*D$124</f>
        <v>1481.9112</v>
      </c>
      <c r="E141" s="94">
        <f>((D73*(1-'5.Closing Stock &amp; W Capital'!$D$15))+(C73*'5.Closing Stock &amp; W Capital'!$D$15))*$C$141*E$124</f>
        <v>1766.2248450000004</v>
      </c>
      <c r="F141" s="94">
        <f>((E73*(1-'5.Closing Stock &amp; W Capital'!$D$15))+(D73*'5.Closing Stock &amp; W Capital'!$D$15))*$C$141*F$124</f>
        <v>2060.8248622500005</v>
      </c>
      <c r="G141" s="94">
        <f>((F73*(1-'5.Closing Stock &amp; W Capital'!$D$15))+(E73*'5.Closing Stock &amp; W Capital'!$D$15))*$C$141*G$124</f>
        <v>2380.4693191125011</v>
      </c>
      <c r="H141" s="94">
        <f>((G73*(1-'5.Closing Stock &amp; W Capital'!$D$15))+(F73*'5.Closing Stock &amp; W Capital'!$D$15))*$C$141*H$124</f>
        <v>2726.9261595056264</v>
      </c>
      <c r="I141" s="94">
        <f>((H73*(1-'5.Closing Stock &amp; W Capital'!$D$15))+(G73*'5.Closing Stock &amp; W Capital'!$D$15))*$C$141*I$124</f>
        <v>3102.0775106402825</v>
      </c>
      <c r="J141" s="94">
        <f>((I73*(1-'5.Closing Stock &amp; W Capital'!$D$15))+(H73*'5.Closing Stock &amp; W Capital'!$D$15))*$C$141*J$124</f>
        <v>3507.9266814896423</v>
      </c>
      <c r="K141" s="92"/>
      <c r="U141" s="92"/>
      <c r="V141" s="92"/>
      <c r="W141" s="92"/>
    </row>
    <row r="142" spans="1:23">
      <c r="A142" s="93" t="str">
        <f t="shared" si="52"/>
        <v>Maize</v>
      </c>
      <c r="B142" s="93"/>
      <c r="C142" s="254">
        <v>27</v>
      </c>
      <c r="D142" s="94">
        <f>(C74*(1-'5.Closing Stock &amp; W Capital'!$D$15))*$C$142*D$124</f>
        <v>0</v>
      </c>
      <c r="E142" s="94">
        <f>((D74*(1-'5.Closing Stock &amp; W Capital'!$D$15))+(C74*'5.Closing Stock &amp; W Capital'!$D$15))*$C$142*E$124</f>
        <v>0</v>
      </c>
      <c r="F142" s="94">
        <f>((E74*(1-'5.Closing Stock &amp; W Capital'!$D$15))+(D74*'5.Closing Stock &amp; W Capital'!$D$15))*$C$142*F$124</f>
        <v>0</v>
      </c>
      <c r="G142" s="94">
        <f>((F74*(1-'5.Closing Stock &amp; W Capital'!$D$15))+(E74*'5.Closing Stock &amp; W Capital'!$D$15))*$C$142*G$124</f>
        <v>0</v>
      </c>
      <c r="H142" s="94">
        <f>((G74*(1-'5.Closing Stock &amp; W Capital'!$D$15))+(F74*'5.Closing Stock &amp; W Capital'!$D$15))*$C$142*H$124</f>
        <v>0</v>
      </c>
      <c r="I142" s="94">
        <f>((H74*(1-'5.Closing Stock &amp; W Capital'!$D$15))+(G74*'5.Closing Stock &amp; W Capital'!$D$15))*$C$142*I$124</f>
        <v>0</v>
      </c>
      <c r="J142" s="94">
        <f>((I74*(1-'5.Closing Stock &amp; W Capital'!$D$15))+(H74*'5.Closing Stock &amp; W Capital'!$D$15))*$C$142*J$124</f>
        <v>0</v>
      </c>
      <c r="K142" s="92"/>
      <c r="U142" s="92"/>
      <c r="V142" s="92"/>
      <c r="W142" s="92"/>
    </row>
    <row r="143" spans="1:23">
      <c r="A143" s="93" t="str">
        <f t="shared" si="52"/>
        <v>Safflower</v>
      </c>
      <c r="B143" s="93"/>
      <c r="C143" s="254">
        <v>80</v>
      </c>
      <c r="D143" s="94">
        <f>(C75*(1-'5.Closing Stock &amp; W Capital'!$D$15))*$C$143*D$124</f>
        <v>627.26400000000001</v>
      </c>
      <c r="E143" s="94">
        <f>((D75*(1-'5.Closing Stock &amp; W Capital'!$D$15))+(C75*'5.Closing Stock &amp; W Capital'!$D$15))*$C$143*E$124</f>
        <v>747.60840000000007</v>
      </c>
      <c r="F143" s="94">
        <f>((E75*(1-'5.Closing Stock &amp; W Capital'!$D$15))+(D75*'5.Closing Stock &amp; W Capital'!$D$15))*$C$143*F$124</f>
        <v>872.30682000000013</v>
      </c>
      <c r="G143" s="94">
        <f>((F75*(1-'5.Closing Stock &amp; W Capital'!$D$15))+(E75*'5.Closing Stock &amp; W Capital'!$D$15))*$C$143*G$124</f>
        <v>1007.6060610000002</v>
      </c>
      <c r="H143" s="94">
        <f>((G75*(1-'5.Closing Stock &amp; W Capital'!$D$15))+(F75*'5.Closing Stock &amp; W Capital'!$D$15))*$C$143*H$124</f>
        <v>1154.2544590500002</v>
      </c>
      <c r="I143" s="94">
        <f>((H75*(1-'5.Closing Stock &amp; W Capital'!$D$15))+(G75*'5.Closing Stock &amp; W Capital'!$D$15))*$C$143*I$124</f>
        <v>1313.0486817525004</v>
      </c>
      <c r="J143" s="94">
        <f>((I75*(1-'5.Closing Stock &amp; W Capital'!$D$15))+(H75*'5.Closing Stock &amp; W Capital'!$D$15))*$C$143*J$124</f>
        <v>1484.8366905776254</v>
      </c>
      <c r="K143" s="92"/>
      <c r="U143" s="92"/>
      <c r="V143" s="92"/>
      <c r="W143" s="92"/>
    </row>
    <row r="144" spans="1:23">
      <c r="A144" s="93">
        <f t="shared" si="52"/>
        <v>0</v>
      </c>
      <c r="B144" s="93"/>
      <c r="C144" s="254"/>
      <c r="D144" s="94">
        <f>(C76*(1-'5.Closing Stock &amp; W Capital'!$D$15))*$C$144*D$124</f>
        <v>0</v>
      </c>
      <c r="E144" s="94">
        <f>((D76*(1-'5.Closing Stock &amp; W Capital'!$D$15))+(C76*'5.Closing Stock &amp; W Capital'!$D$15))*$C$144*E$124</f>
        <v>0</v>
      </c>
      <c r="F144" s="94">
        <f>((E76*(1-'5.Closing Stock &amp; W Capital'!$D$15))+(D76*'5.Closing Stock &amp; W Capital'!$D$15))*$C$144*F$124</f>
        <v>0</v>
      </c>
      <c r="G144" s="94">
        <f>((F76*(1-'5.Closing Stock &amp; W Capital'!$D$15))+(E76*'5.Closing Stock &amp; W Capital'!$D$15))*$C$144*G$124</f>
        <v>0</v>
      </c>
      <c r="H144" s="94">
        <f>((G76*(1-'5.Closing Stock &amp; W Capital'!$D$15))+(F76*'5.Closing Stock &amp; W Capital'!$D$15))*$C$144*H$124</f>
        <v>0</v>
      </c>
      <c r="I144" s="94">
        <f>((H76*(1-'5.Closing Stock &amp; W Capital'!$D$15))+(G76*'5.Closing Stock &amp; W Capital'!$D$15))*$C$144*I$124</f>
        <v>0</v>
      </c>
      <c r="J144" s="94">
        <f>((I76*(1-'5.Closing Stock &amp; W Capital'!$D$15))+(H76*'5.Closing Stock &amp; W Capital'!$D$15))*$C$144*J$124</f>
        <v>0</v>
      </c>
      <c r="K144" s="92"/>
      <c r="U144" s="92"/>
      <c r="V144" s="92"/>
      <c r="W144" s="92"/>
    </row>
    <row r="145" spans="1:23">
      <c r="A145" s="93">
        <f t="shared" si="52"/>
        <v>0</v>
      </c>
      <c r="B145" s="93"/>
      <c r="C145" s="254"/>
      <c r="D145" s="94">
        <f>(C77*(1-'5.Closing Stock &amp; W Capital'!$D$15))*$C$145*D$124</f>
        <v>0</v>
      </c>
      <c r="E145" s="94">
        <f>((D77*(1-'5.Closing Stock &amp; W Capital'!$D$15))+(C77*'5.Closing Stock &amp; W Capital'!$D$15))*$C$145*E$124</f>
        <v>0</v>
      </c>
      <c r="F145" s="94">
        <f>((E77*(1-'5.Closing Stock &amp; W Capital'!$D$15))+(D77*'5.Closing Stock &amp; W Capital'!$D$15))*$C$145*F$124</f>
        <v>0</v>
      </c>
      <c r="G145" s="94">
        <f>((F77*(1-'5.Closing Stock &amp; W Capital'!$D$15))+(E77*'5.Closing Stock &amp; W Capital'!$D$15))*$C$145*G$124</f>
        <v>0</v>
      </c>
      <c r="H145" s="94">
        <f>((G77*(1-'5.Closing Stock &amp; W Capital'!$D$15))+(F77*'5.Closing Stock &amp; W Capital'!$D$15))*$C$145*H$124</f>
        <v>0</v>
      </c>
      <c r="I145" s="94">
        <f>((H77*(1-'5.Closing Stock &amp; W Capital'!$D$15))+(G77*'5.Closing Stock &amp; W Capital'!$D$15))*$C$145*I$124</f>
        <v>0</v>
      </c>
      <c r="J145" s="94">
        <f>((I77*(1-'5.Closing Stock &amp; W Capital'!$D$15))+(H77*'5.Closing Stock &amp; W Capital'!$D$15))*$C$145*J$124</f>
        <v>0</v>
      </c>
      <c r="K145" s="92"/>
      <c r="U145" s="92"/>
      <c r="V145" s="92"/>
      <c r="W145" s="92"/>
    </row>
    <row r="146" spans="1:23">
      <c r="A146" s="93">
        <f t="shared" si="52"/>
        <v>0</v>
      </c>
      <c r="B146" s="93"/>
      <c r="C146" s="254"/>
      <c r="D146" s="94">
        <f>(C78*(1-'5.Closing Stock &amp; W Capital'!$D$15))*$C$146*D$124</f>
        <v>0</v>
      </c>
      <c r="E146" s="94">
        <f>((D78*(1-'5.Closing Stock &amp; W Capital'!$D$15))+(C78*'5.Closing Stock &amp; W Capital'!$D$15))*$C$146*E$124</f>
        <v>0</v>
      </c>
      <c r="F146" s="94">
        <f>((E78*(1-'5.Closing Stock &amp; W Capital'!$D$15))+(D78*'5.Closing Stock &amp; W Capital'!$D$15))*$C$146*F$124</f>
        <v>0</v>
      </c>
      <c r="G146" s="94">
        <f>((F78*(1-'5.Closing Stock &amp; W Capital'!$D$15))+(E78*'5.Closing Stock &amp; W Capital'!$D$15))*$C$146*G$124</f>
        <v>0</v>
      </c>
      <c r="H146" s="94">
        <f>((G78*(1-'5.Closing Stock &amp; W Capital'!$D$15))+(F78*'5.Closing Stock &amp; W Capital'!$D$15))*$C$146*H$124</f>
        <v>0</v>
      </c>
      <c r="I146" s="94">
        <f>((H78*(1-'5.Closing Stock &amp; W Capital'!$D$15))+(G78*'5.Closing Stock &amp; W Capital'!$D$15))*$C$146*I$124</f>
        <v>0</v>
      </c>
      <c r="J146" s="94">
        <f>((I78*(1-'5.Closing Stock &amp; W Capital'!$D$15))+(H78*'5.Closing Stock &amp; W Capital'!$D$15))*$C$146*J$124</f>
        <v>0</v>
      </c>
      <c r="K146" s="92"/>
      <c r="U146" s="92"/>
      <c r="V146" s="92"/>
      <c r="W146" s="92"/>
    </row>
    <row r="147" spans="1:23">
      <c r="A147" s="95" t="str">
        <f t="shared" si="52"/>
        <v>Summer</v>
      </c>
      <c r="B147" s="93"/>
      <c r="C147" s="254"/>
      <c r="D147" s="94"/>
      <c r="E147" s="94"/>
      <c r="F147" s="94"/>
      <c r="G147" s="94"/>
      <c r="H147" s="94"/>
      <c r="I147" s="94"/>
      <c r="J147" s="94"/>
      <c r="K147" s="92"/>
      <c r="U147" s="92"/>
      <c r="V147" s="92"/>
      <c r="W147" s="92"/>
    </row>
    <row r="148" spans="1:23">
      <c r="A148" s="93" t="str">
        <f t="shared" si="52"/>
        <v>Groundnut</v>
      </c>
      <c r="B148" s="93"/>
      <c r="C148" s="254"/>
      <c r="D148" s="94">
        <f>(C80*(1-'5.Closing Stock &amp; W Capital'!$D$15))*$C$148*D$124</f>
        <v>0</v>
      </c>
      <c r="E148" s="94">
        <f>((D80*(1-'5.Closing Stock &amp; W Capital'!$D$15))+(C80*'5.Closing Stock &amp; W Capital'!$D$15))*$C$148*E$124</f>
        <v>0</v>
      </c>
      <c r="F148" s="94">
        <f>((E80*(1-'5.Closing Stock &amp; W Capital'!$D$15))+(D80*'5.Closing Stock &amp; W Capital'!$D$15))*$C$148*F$124</f>
        <v>0</v>
      </c>
      <c r="G148" s="94">
        <f>((F80*(1-'5.Closing Stock &amp; W Capital'!$D$15))+(E80*'5.Closing Stock &amp; W Capital'!$D$15))*$C$148*G$124</f>
        <v>0</v>
      </c>
      <c r="H148" s="94">
        <f>((G80*(1-'5.Closing Stock &amp; W Capital'!$D$15))+(F80*'5.Closing Stock &amp; W Capital'!$D$15))*$C$148*H$124</f>
        <v>0</v>
      </c>
      <c r="I148" s="94">
        <f>((H80*(1-'5.Closing Stock &amp; W Capital'!$D$15))+(G80*'5.Closing Stock &amp; W Capital'!$D$15))*$C$148*I$124</f>
        <v>0</v>
      </c>
      <c r="J148" s="94">
        <f>((I80*(1-'5.Closing Stock &amp; W Capital'!$D$15))+(H80*'5.Closing Stock &amp; W Capital'!$D$15))*$C$148*J$124</f>
        <v>0</v>
      </c>
      <c r="K148" s="92"/>
      <c r="U148" s="92"/>
      <c r="V148" s="92"/>
      <c r="W148" s="92"/>
    </row>
    <row r="149" spans="1:23">
      <c r="A149" s="93">
        <f t="shared" si="52"/>
        <v>0</v>
      </c>
      <c r="B149" s="93"/>
      <c r="C149" s="254"/>
      <c r="D149" s="94">
        <f>(C81*(1-'5.Closing Stock &amp; W Capital'!$D$15))*$C$149*D$124</f>
        <v>0</v>
      </c>
      <c r="E149" s="94">
        <f>((D81*(1-'5.Closing Stock &amp; W Capital'!$D$15))+(C81*'5.Closing Stock &amp; W Capital'!$D$15))*$C$149*E$124</f>
        <v>0</v>
      </c>
      <c r="F149" s="94">
        <f>((E81*(1-'5.Closing Stock &amp; W Capital'!$D$15))+(D81*'5.Closing Stock &amp; W Capital'!$D$15))*$C$149*F$124</f>
        <v>0</v>
      </c>
      <c r="G149" s="94">
        <f>((F81*(1-'5.Closing Stock &amp; W Capital'!$D$15))+(E81*'5.Closing Stock &amp; W Capital'!$D$15))*$C$149*G$124</f>
        <v>0</v>
      </c>
      <c r="H149" s="94">
        <f>((G81*(1-'5.Closing Stock &amp; W Capital'!$D$15))+(F81*'5.Closing Stock &amp; W Capital'!$D$15))*$C$149*H$124</f>
        <v>0</v>
      </c>
      <c r="I149" s="94">
        <f>((H81*(1-'5.Closing Stock &amp; W Capital'!$D$15))+(G81*'5.Closing Stock &amp; W Capital'!$D$15))*$C$149*I$124</f>
        <v>0</v>
      </c>
      <c r="J149" s="94">
        <f>((I81*(1-'5.Closing Stock &amp; W Capital'!$D$15))+(H81*'5.Closing Stock &amp; W Capital'!$D$15))*$C$149*J$124</f>
        <v>0</v>
      </c>
      <c r="K149" s="92"/>
      <c r="U149" s="92"/>
      <c r="V149" s="92"/>
      <c r="W149" s="92"/>
    </row>
    <row r="150" spans="1:23">
      <c r="A150" s="93">
        <f t="shared" si="52"/>
        <v>0</v>
      </c>
      <c r="B150" s="93"/>
      <c r="C150" s="254"/>
      <c r="D150" s="94">
        <f>(C82*(1-'5.Closing Stock &amp; W Capital'!$D$15))*$C$150*D$124</f>
        <v>0</v>
      </c>
      <c r="E150" s="94">
        <f>((D82*(1-'5.Closing Stock &amp; W Capital'!$D$15))+(C82*'5.Closing Stock &amp; W Capital'!$D$15))*$C$150*E$124</f>
        <v>0</v>
      </c>
      <c r="F150" s="94">
        <f>((E82*(1-'5.Closing Stock &amp; W Capital'!$D$15))+(D82*'5.Closing Stock &amp; W Capital'!$D$15))*$C$150*F$124</f>
        <v>0</v>
      </c>
      <c r="G150" s="94">
        <f>((F82*(1-'5.Closing Stock &amp; W Capital'!$D$15))+(E82*'5.Closing Stock &amp; W Capital'!$D$15))*$C$150*G$124</f>
        <v>0</v>
      </c>
      <c r="H150" s="94">
        <f>((G82*(1-'5.Closing Stock &amp; W Capital'!$D$15))+(F82*'5.Closing Stock &amp; W Capital'!$D$15))*$C$150*H$124</f>
        <v>0</v>
      </c>
      <c r="I150" s="94">
        <f>((H82*(1-'5.Closing Stock &amp; W Capital'!$D$15))+(G82*'5.Closing Stock &amp; W Capital'!$D$15))*$C$150*I$124</f>
        <v>0</v>
      </c>
      <c r="J150" s="94">
        <f>((I82*(1-'5.Closing Stock &amp; W Capital'!$D$15))+(H82*'5.Closing Stock &amp; W Capital'!$D$15))*$C$150*J$124</f>
        <v>0</v>
      </c>
      <c r="K150" s="92"/>
      <c r="U150" s="92"/>
      <c r="V150" s="92"/>
      <c r="W150" s="92"/>
    </row>
    <row r="151" spans="1:23">
      <c r="A151" s="93">
        <f t="shared" si="52"/>
        <v>0</v>
      </c>
      <c r="B151" s="93"/>
      <c r="C151" s="254"/>
      <c r="D151" s="94">
        <f>(C83*(1-'5.Closing Stock &amp; W Capital'!$D$15))*$C$151*D$124</f>
        <v>0</v>
      </c>
      <c r="E151" s="94">
        <f>((D83*(1-'5.Closing Stock &amp; W Capital'!$D$15))+(C83*'5.Closing Stock &amp; W Capital'!$D$15))*$C$151*E$124</f>
        <v>0</v>
      </c>
      <c r="F151" s="94">
        <f>((E83*(1-'5.Closing Stock &amp; W Capital'!$D$15))+(D83*'5.Closing Stock &amp; W Capital'!$D$15))*$C$151*F$124</f>
        <v>0</v>
      </c>
      <c r="G151" s="94">
        <f>((F83*(1-'5.Closing Stock &amp; W Capital'!$D$15))+(E83*'5.Closing Stock &amp; W Capital'!$D$15))*$C$151*G$124</f>
        <v>0</v>
      </c>
      <c r="H151" s="94">
        <f>((G83*(1-'5.Closing Stock &amp; W Capital'!$D$15))+(F83*'5.Closing Stock &amp; W Capital'!$D$15))*$C$151*H$124</f>
        <v>0</v>
      </c>
      <c r="I151" s="94">
        <f>((H83*(1-'5.Closing Stock &amp; W Capital'!$D$15))+(G83*'5.Closing Stock &amp; W Capital'!$D$15))*$C$151*I$124</f>
        <v>0</v>
      </c>
      <c r="J151" s="94">
        <f>((I83*(1-'5.Closing Stock &amp; W Capital'!$D$15))+(H83*'5.Closing Stock &amp; W Capital'!$D$15))*$C$151*J$124</f>
        <v>0</v>
      </c>
      <c r="K151" s="92"/>
      <c r="U151" s="92"/>
      <c r="V151" s="92"/>
      <c r="W151" s="92"/>
    </row>
    <row r="152" spans="1:23">
      <c r="A152" s="93">
        <f t="shared" si="52"/>
        <v>0</v>
      </c>
      <c r="B152" s="93"/>
      <c r="C152" s="254"/>
      <c r="D152" s="94">
        <f>(C84*(1-'5.Closing Stock &amp; W Capital'!$D$15))*$C$152*D$124</f>
        <v>0</v>
      </c>
      <c r="E152" s="94">
        <f>((D84*(1-'5.Closing Stock &amp; W Capital'!$D$15))+(C84*'5.Closing Stock &amp; W Capital'!$D$15))*$C$152*E$124</f>
        <v>0</v>
      </c>
      <c r="F152" s="94">
        <f>((E84*(1-'5.Closing Stock &amp; W Capital'!$D$15))+(D84*'5.Closing Stock &amp; W Capital'!$D$15))*$C$152*F$124</f>
        <v>0</v>
      </c>
      <c r="G152" s="94">
        <f>((F84*(1-'5.Closing Stock &amp; W Capital'!$D$15))+(E84*'5.Closing Stock &amp; W Capital'!$D$15))*$C$152*G$124</f>
        <v>0</v>
      </c>
      <c r="H152" s="94">
        <f>((G84*(1-'5.Closing Stock &amp; W Capital'!$D$15))+(F84*'5.Closing Stock &amp; W Capital'!$D$15))*$C$152*H$124</f>
        <v>0</v>
      </c>
      <c r="I152" s="94">
        <f>((H84*(1-'5.Closing Stock &amp; W Capital'!$D$15))+(G84*'5.Closing Stock &amp; W Capital'!$D$15))*$C$152*I$124</f>
        <v>0</v>
      </c>
      <c r="J152" s="94">
        <f>((I84*(1-'5.Closing Stock &amp; W Capital'!$D$15))+(H84*'5.Closing Stock &amp; W Capital'!$D$15))*$C$152*J$124</f>
        <v>0</v>
      </c>
      <c r="K152" s="92"/>
      <c r="U152" s="92"/>
      <c r="V152" s="92"/>
      <c r="W152" s="92"/>
    </row>
    <row r="153" spans="1:23">
      <c r="A153" s="93" t="str">
        <f t="shared" si="52"/>
        <v>Fruit  &amp; Vegetables Crop Production Details</v>
      </c>
      <c r="B153" s="93"/>
      <c r="C153" s="254"/>
      <c r="D153" s="94"/>
      <c r="E153" s="94"/>
      <c r="F153" s="94"/>
      <c r="G153" s="94"/>
      <c r="H153" s="94"/>
      <c r="I153" s="94"/>
      <c r="J153" s="94"/>
      <c r="K153" s="92"/>
      <c r="U153" s="92"/>
      <c r="V153" s="92"/>
      <c r="W153" s="92"/>
    </row>
    <row r="154" spans="1:23">
      <c r="A154" s="93" t="str">
        <f t="shared" si="52"/>
        <v>Onion</v>
      </c>
      <c r="B154" s="93"/>
      <c r="C154" s="254"/>
      <c r="D154" s="94">
        <f>(C86*(1-'5.Closing Stock &amp; W Capital'!$D$15))*$C154*D$124</f>
        <v>0</v>
      </c>
      <c r="E154" s="94">
        <f>((D86*(1-'5.Closing Stock &amp; W Capital'!$D$15))+(C86*'5.Closing Stock &amp; W Capital'!$D$15))*$C154*E$124</f>
        <v>0</v>
      </c>
      <c r="F154" s="94">
        <f>((E86*(1-'5.Closing Stock &amp; W Capital'!$D$15))+(D86*'5.Closing Stock &amp; W Capital'!$D$15))*$C$152*F$124</f>
        <v>0</v>
      </c>
      <c r="G154" s="94">
        <f>((F86*(1-'5.Closing Stock &amp; W Capital'!$D$15))+(E86*'5.Closing Stock &amp; W Capital'!$D$15))*$C$152*G$124</f>
        <v>0</v>
      </c>
      <c r="H154" s="94">
        <f>((G86*(1-'5.Closing Stock &amp; W Capital'!$D$15))+(F86*'5.Closing Stock &amp; W Capital'!$D$15))*$C$152*H$124</f>
        <v>0</v>
      </c>
      <c r="I154" s="94">
        <f>((H86*(1-'5.Closing Stock &amp; W Capital'!$D$15))+(G86*'5.Closing Stock &amp; W Capital'!$D$15))*$C$152*I$124</f>
        <v>0</v>
      </c>
      <c r="J154" s="94">
        <f>((I86*(1-'5.Closing Stock &amp; W Capital'!$D$15))+(H86*'5.Closing Stock &amp; W Capital'!$D$15))*$C$152*J$124</f>
        <v>0</v>
      </c>
      <c r="K154" s="92"/>
      <c r="U154" s="92"/>
      <c r="V154" s="92"/>
      <c r="W154" s="92"/>
    </row>
    <row r="155" spans="1:23">
      <c r="A155" s="93" t="str">
        <f t="shared" si="52"/>
        <v>Tomato</v>
      </c>
      <c r="B155" s="93"/>
      <c r="C155" s="254"/>
      <c r="D155" s="94">
        <f>(C87*(1-'5.Closing Stock &amp; W Capital'!$D$15))*$C155*D$124</f>
        <v>0</v>
      </c>
      <c r="E155" s="94">
        <f>((D87*(1-'5.Closing Stock &amp; W Capital'!$D$15))+(C87*'5.Closing Stock &amp; W Capital'!$D$15))*$C155*E$124</f>
        <v>0</v>
      </c>
      <c r="F155" s="94">
        <f>((E87*(1-'5.Closing Stock &amp; W Capital'!$D$15))+(D87*'5.Closing Stock &amp; W Capital'!$D$15))*$C$152*F$124</f>
        <v>0</v>
      </c>
      <c r="G155" s="94">
        <f>((F87*(1-'5.Closing Stock &amp; W Capital'!$D$15))+(E87*'5.Closing Stock &amp; W Capital'!$D$15))*$C$152*G$124</f>
        <v>0</v>
      </c>
      <c r="H155" s="94">
        <f>((G87*(1-'5.Closing Stock &amp; W Capital'!$D$15))+(F87*'5.Closing Stock &amp; W Capital'!$D$15))*$C$152*H$124</f>
        <v>0</v>
      </c>
      <c r="I155" s="94">
        <f>((H87*(1-'5.Closing Stock &amp; W Capital'!$D$15))+(G87*'5.Closing Stock &amp; W Capital'!$D$15))*$C$152*I$124</f>
        <v>0</v>
      </c>
      <c r="J155" s="94">
        <f>((I87*(1-'5.Closing Stock &amp; W Capital'!$D$15))+(H87*'5.Closing Stock &amp; W Capital'!$D$15))*$C$152*J$124</f>
        <v>0</v>
      </c>
      <c r="K155" s="92"/>
      <c r="U155" s="92"/>
      <c r="V155" s="92"/>
      <c r="W155" s="92"/>
    </row>
    <row r="156" spans="1:23">
      <c r="A156" s="93" t="str">
        <f t="shared" si="52"/>
        <v>Okra</v>
      </c>
      <c r="B156" s="93"/>
      <c r="C156" s="254"/>
      <c r="D156" s="94">
        <f>(C88*(1-'5.Closing Stock &amp; W Capital'!$D$15))*$C156*D$124</f>
        <v>0</v>
      </c>
      <c r="E156" s="94">
        <f>((D88*(1-'5.Closing Stock &amp; W Capital'!$D$15))+(C88*'5.Closing Stock &amp; W Capital'!$D$15))*$C156*E$124</f>
        <v>0</v>
      </c>
      <c r="F156" s="94">
        <f>((E88*(1-'5.Closing Stock &amp; W Capital'!$D$15))+(D88*'5.Closing Stock &amp; W Capital'!$D$15))*$C$152*F$124</f>
        <v>0</v>
      </c>
      <c r="G156" s="94">
        <f>((F88*(1-'5.Closing Stock &amp; W Capital'!$D$15))+(E88*'5.Closing Stock &amp; W Capital'!$D$15))*$C$152*G$124</f>
        <v>0</v>
      </c>
      <c r="H156" s="94">
        <f>((G88*(1-'5.Closing Stock &amp; W Capital'!$D$15))+(F88*'5.Closing Stock &amp; W Capital'!$D$15))*$C$152*H$124</f>
        <v>0</v>
      </c>
      <c r="I156" s="94">
        <f>((H88*(1-'5.Closing Stock &amp; W Capital'!$D$15))+(G88*'5.Closing Stock &amp; W Capital'!$D$15))*$C$152*I$124</f>
        <v>0</v>
      </c>
      <c r="J156" s="94">
        <f>((I88*(1-'5.Closing Stock &amp; W Capital'!$D$15))+(H88*'5.Closing Stock &amp; W Capital'!$D$15))*$C$152*J$124</f>
        <v>0</v>
      </c>
      <c r="K156" s="92"/>
      <c r="U156" s="92"/>
      <c r="V156" s="92"/>
      <c r="W156" s="92"/>
    </row>
    <row r="157" spans="1:23">
      <c r="A157" s="93" t="str">
        <f t="shared" si="52"/>
        <v>Chilli</v>
      </c>
      <c r="B157" s="93"/>
      <c r="C157" s="254"/>
      <c r="D157" s="94">
        <f>(C89*(1-'5.Closing Stock &amp; W Capital'!$D$15))*$C157*D$124</f>
        <v>0</v>
      </c>
      <c r="E157" s="94">
        <f>((D89*(1-'5.Closing Stock &amp; W Capital'!$D$15))+(C89*'5.Closing Stock &amp; W Capital'!$D$15))*$C157*E$124</f>
        <v>0</v>
      </c>
      <c r="F157" s="94">
        <f>((E89*(1-'5.Closing Stock &amp; W Capital'!$D$15))+(D89*'5.Closing Stock &amp; W Capital'!$D$15))*$C$152*F$124</f>
        <v>0</v>
      </c>
      <c r="G157" s="94">
        <f>((F89*(1-'5.Closing Stock &amp; W Capital'!$D$15))+(E89*'5.Closing Stock &amp; W Capital'!$D$15))*$C$152*G$124</f>
        <v>0</v>
      </c>
      <c r="H157" s="94">
        <f>((G89*(1-'5.Closing Stock &amp; W Capital'!$D$15))+(F89*'5.Closing Stock &amp; W Capital'!$D$15))*$C$152*H$124</f>
        <v>0</v>
      </c>
      <c r="I157" s="94">
        <f>((H89*(1-'5.Closing Stock &amp; W Capital'!$D$15))+(G89*'5.Closing Stock &amp; W Capital'!$D$15))*$C$152*I$124</f>
        <v>0</v>
      </c>
      <c r="J157" s="94">
        <f>((I89*(1-'5.Closing Stock &amp; W Capital'!$D$15))+(H89*'5.Closing Stock &amp; W Capital'!$D$15))*$C$152*J$124</f>
        <v>0</v>
      </c>
      <c r="K157" s="92"/>
      <c r="U157" s="92"/>
      <c r="V157" s="92"/>
      <c r="W157" s="92"/>
    </row>
    <row r="158" spans="1:23">
      <c r="A158" s="93" t="str">
        <f t="shared" si="52"/>
        <v>Potato</v>
      </c>
      <c r="B158" s="93"/>
      <c r="C158" s="254"/>
      <c r="D158" s="94">
        <f>(C90*(1-'5.Closing Stock &amp; W Capital'!$D$15))*$C158*D$124</f>
        <v>0</v>
      </c>
      <c r="E158" s="94">
        <f>((D90*(1-'5.Closing Stock &amp; W Capital'!$D$15))+(C90*'5.Closing Stock &amp; W Capital'!$D$15))*$C158*E$124</f>
        <v>0</v>
      </c>
      <c r="F158" s="94">
        <f>((E90*(1-'5.Closing Stock &amp; W Capital'!$D$15))+(D90*'5.Closing Stock &amp; W Capital'!$D$15))*$C$152*F$124</f>
        <v>0</v>
      </c>
      <c r="G158" s="94">
        <f>((F90*(1-'5.Closing Stock &amp; W Capital'!$D$15))+(E90*'5.Closing Stock &amp; W Capital'!$D$15))*$C$152*G$124</f>
        <v>0</v>
      </c>
      <c r="H158" s="94">
        <f>((G90*(1-'5.Closing Stock &amp; W Capital'!$D$15))+(F90*'5.Closing Stock &amp; W Capital'!$D$15))*$C$152*H$124</f>
        <v>0</v>
      </c>
      <c r="I158" s="94">
        <f>((H90*(1-'5.Closing Stock &amp; W Capital'!$D$15))+(G90*'5.Closing Stock &amp; W Capital'!$D$15))*$C$152*I$124</f>
        <v>0</v>
      </c>
      <c r="J158" s="94">
        <f>((I90*(1-'5.Closing Stock &amp; W Capital'!$D$15))+(H90*'5.Closing Stock &amp; W Capital'!$D$15))*$C$152*J$124</f>
        <v>0</v>
      </c>
      <c r="K158" s="92"/>
      <c r="U158" s="92"/>
      <c r="V158" s="92"/>
      <c r="W158" s="92"/>
    </row>
    <row r="159" spans="1:23">
      <c r="A159" s="93">
        <f t="shared" si="52"/>
        <v>0</v>
      </c>
      <c r="B159" s="93"/>
      <c r="C159" s="254"/>
      <c r="D159" s="94">
        <f>(C91*(1-'5.Closing Stock &amp; W Capital'!$D$15))*$C159*D$124</f>
        <v>0</v>
      </c>
      <c r="E159" s="94">
        <f>((D91*(1-'5.Closing Stock &amp; W Capital'!$D$15))+(C91*'5.Closing Stock &amp; W Capital'!$D$15))*$C159*E$124</f>
        <v>0</v>
      </c>
      <c r="F159" s="94">
        <f>((E91*(1-'5.Closing Stock &amp; W Capital'!$D$15))+(D91*'5.Closing Stock &amp; W Capital'!$D$15))*$C$152*F$124</f>
        <v>0</v>
      </c>
      <c r="G159" s="94">
        <f>((F91*(1-'5.Closing Stock &amp; W Capital'!$D$15))+(E91*'5.Closing Stock &amp; W Capital'!$D$15))*$C$152*G$124</f>
        <v>0</v>
      </c>
      <c r="H159" s="94">
        <f>((G91*(1-'5.Closing Stock &amp; W Capital'!$D$15))+(F91*'5.Closing Stock &amp; W Capital'!$D$15))*$C$152*H$124</f>
        <v>0</v>
      </c>
      <c r="I159" s="94">
        <f>((H91*(1-'5.Closing Stock &amp; W Capital'!$D$15))+(G91*'5.Closing Stock &amp; W Capital'!$D$15))*$C$152*I$124</f>
        <v>0</v>
      </c>
      <c r="J159" s="94">
        <f>((I91*(1-'5.Closing Stock &amp; W Capital'!$D$15))+(H91*'5.Closing Stock &amp; W Capital'!$D$15))*$C$152*J$124</f>
        <v>0</v>
      </c>
      <c r="K159" s="92"/>
      <c r="U159" s="92"/>
      <c r="V159" s="92"/>
      <c r="W159" s="92"/>
    </row>
    <row r="160" spans="1:23">
      <c r="A160" s="93">
        <f t="shared" si="52"/>
        <v>0</v>
      </c>
      <c r="B160" s="93"/>
      <c r="C160" s="254"/>
      <c r="D160" s="94">
        <f>(C92*(1-'5.Closing Stock &amp; W Capital'!$D$15))*$C160*D$124</f>
        <v>0</v>
      </c>
      <c r="E160" s="94">
        <f>((D92*(1-'5.Closing Stock &amp; W Capital'!$D$15))+(C92*'5.Closing Stock &amp; W Capital'!$D$15))*$C160*E$124</f>
        <v>0</v>
      </c>
      <c r="F160" s="94">
        <f>((E92*(1-'5.Closing Stock &amp; W Capital'!$D$15))+(D92*'5.Closing Stock &amp; W Capital'!$D$15))*$C$152*F$124</f>
        <v>0</v>
      </c>
      <c r="G160" s="94">
        <f>((F92*(1-'5.Closing Stock &amp; W Capital'!$D$15))+(E92*'5.Closing Stock &amp; W Capital'!$D$15))*$C$152*G$124</f>
        <v>0</v>
      </c>
      <c r="H160" s="94">
        <f>((G92*(1-'5.Closing Stock &amp; W Capital'!$D$15))+(F92*'5.Closing Stock &amp; W Capital'!$D$15))*$C$152*H$124</f>
        <v>0</v>
      </c>
      <c r="I160" s="94">
        <f>((H92*(1-'5.Closing Stock &amp; W Capital'!$D$15))+(G92*'5.Closing Stock &amp; W Capital'!$D$15))*$C$152*I$124</f>
        <v>0</v>
      </c>
      <c r="J160" s="94">
        <f>((I92*(1-'5.Closing Stock &amp; W Capital'!$D$15))+(H92*'5.Closing Stock &amp; W Capital'!$D$15))*$C$152*J$124</f>
        <v>0</v>
      </c>
      <c r="K160" s="92"/>
      <c r="U160" s="92"/>
      <c r="V160" s="92"/>
      <c r="W160" s="92"/>
    </row>
    <row r="161" spans="1:23">
      <c r="A161" s="93">
        <f t="shared" ref="A161:A179" si="53">A40</f>
        <v>0</v>
      </c>
      <c r="B161" s="93"/>
      <c r="C161" s="254"/>
      <c r="D161" s="94">
        <f>(C93*(1-'5.Closing Stock &amp; W Capital'!$D$15))*$C161*D$124</f>
        <v>0</v>
      </c>
      <c r="E161" s="94">
        <f>((D93*(1-'5.Closing Stock &amp; W Capital'!$D$15))+(C93*'5.Closing Stock &amp; W Capital'!$D$15))*$C161*E$124</f>
        <v>0</v>
      </c>
      <c r="F161" s="94">
        <f>((E93*(1-'5.Closing Stock &amp; W Capital'!$D$15))+(D93*'5.Closing Stock &amp; W Capital'!$D$15))*$C$152*F$124</f>
        <v>0</v>
      </c>
      <c r="G161" s="94">
        <f>((F93*(1-'5.Closing Stock &amp; W Capital'!$D$15))+(E93*'5.Closing Stock &amp; W Capital'!$D$15))*$C$152*G$124</f>
        <v>0</v>
      </c>
      <c r="H161" s="94">
        <f>((G93*(1-'5.Closing Stock &amp; W Capital'!$D$15))+(F93*'5.Closing Stock &amp; W Capital'!$D$15))*$C$152*H$124</f>
        <v>0</v>
      </c>
      <c r="I161" s="94">
        <f>((H93*(1-'5.Closing Stock &amp; W Capital'!$D$15))+(G93*'5.Closing Stock &amp; W Capital'!$D$15))*$C$152*I$124</f>
        <v>0</v>
      </c>
      <c r="J161" s="94">
        <f>((I93*(1-'5.Closing Stock &amp; W Capital'!$D$15))+(H93*'5.Closing Stock &amp; W Capital'!$D$15))*$C$152*J$124</f>
        <v>0</v>
      </c>
      <c r="K161" s="92"/>
      <c r="U161" s="92"/>
      <c r="V161" s="92"/>
      <c r="W161" s="92"/>
    </row>
    <row r="162" spans="1:23">
      <c r="A162" s="93">
        <f t="shared" si="53"/>
        <v>0</v>
      </c>
      <c r="B162" s="93"/>
      <c r="C162" s="254"/>
      <c r="D162" s="94">
        <f>(C94*(1-'5.Closing Stock &amp; W Capital'!$D$15))*$C162*D$124</f>
        <v>0</v>
      </c>
      <c r="E162" s="94">
        <f>((D94*(1-'5.Closing Stock &amp; W Capital'!$D$15))+(C94*'5.Closing Stock &amp; W Capital'!$D$15))*$C162*E$124</f>
        <v>0</v>
      </c>
      <c r="F162" s="94">
        <f>((E94*(1-'5.Closing Stock &amp; W Capital'!$D$15))+(D94*'5.Closing Stock &amp; W Capital'!$D$15))*$C$152*F$124</f>
        <v>0</v>
      </c>
      <c r="G162" s="94">
        <f>((F94*(1-'5.Closing Stock &amp; W Capital'!$D$15))+(E94*'5.Closing Stock &amp; W Capital'!$D$15))*$C$152*G$124</f>
        <v>0</v>
      </c>
      <c r="H162" s="94">
        <f>((G94*(1-'5.Closing Stock &amp; W Capital'!$D$15))+(F94*'5.Closing Stock &amp; W Capital'!$D$15))*$C$152*H$124</f>
        <v>0</v>
      </c>
      <c r="I162" s="94">
        <f>((H94*(1-'5.Closing Stock &amp; W Capital'!$D$15))+(G94*'5.Closing Stock &amp; W Capital'!$D$15))*$C$152*I$124</f>
        <v>0</v>
      </c>
      <c r="J162" s="94">
        <f>((I94*(1-'5.Closing Stock &amp; W Capital'!$D$15))+(H94*'5.Closing Stock &amp; W Capital'!$D$15))*$C$152*J$124</f>
        <v>0</v>
      </c>
      <c r="K162" s="92"/>
      <c r="U162" s="92"/>
      <c r="V162" s="92"/>
      <c r="W162" s="92"/>
    </row>
    <row r="163" spans="1:23">
      <c r="A163" s="93" t="str">
        <f t="shared" si="53"/>
        <v>Onion</v>
      </c>
      <c r="B163" s="93"/>
      <c r="C163" s="254"/>
      <c r="D163" s="94">
        <f>(C95*(1-'5.Closing Stock &amp; W Capital'!$D$15))*$C163*D$124</f>
        <v>0</v>
      </c>
      <c r="E163" s="94">
        <f>((D95*(1-'5.Closing Stock &amp; W Capital'!$D$15))+(C95*'5.Closing Stock &amp; W Capital'!$D$15))*$C163*E$124</f>
        <v>0</v>
      </c>
      <c r="F163" s="94">
        <f>((E95*(1-'5.Closing Stock &amp; W Capital'!$D$15))+(D95*'5.Closing Stock &amp; W Capital'!$D$15))*$C$152*F$124</f>
        <v>0</v>
      </c>
      <c r="G163" s="94">
        <f>((F95*(1-'5.Closing Stock &amp; W Capital'!$D$15))+(E95*'5.Closing Stock &amp; W Capital'!$D$15))*$C$152*G$124</f>
        <v>0</v>
      </c>
      <c r="H163" s="94">
        <f>((G95*(1-'5.Closing Stock &amp; W Capital'!$D$15))+(F95*'5.Closing Stock &amp; W Capital'!$D$15))*$C$152*H$124</f>
        <v>0</v>
      </c>
      <c r="I163" s="94">
        <f>((H95*(1-'5.Closing Stock &amp; W Capital'!$D$15))+(G95*'5.Closing Stock &amp; W Capital'!$D$15))*$C$152*I$124</f>
        <v>0</v>
      </c>
      <c r="J163" s="94">
        <f>((I95*(1-'5.Closing Stock &amp; W Capital'!$D$15))+(H95*'5.Closing Stock &amp; W Capital'!$D$15))*$C$152*J$124</f>
        <v>0</v>
      </c>
      <c r="K163" s="92"/>
      <c r="U163" s="92"/>
      <c r="V163" s="92"/>
      <c r="W163" s="92"/>
    </row>
    <row r="164" spans="1:23">
      <c r="A164" s="93" t="str">
        <f t="shared" si="53"/>
        <v>Tomato</v>
      </c>
      <c r="B164" s="93"/>
      <c r="C164" s="254"/>
      <c r="D164" s="94">
        <f>(C96*(1-'5.Closing Stock &amp; W Capital'!$D$15))*$C164*D$124</f>
        <v>0</v>
      </c>
      <c r="E164" s="94">
        <f>((D96*(1-'5.Closing Stock &amp; W Capital'!$D$15))+(C96*'5.Closing Stock &amp; W Capital'!$D$15))*$C164*E$124</f>
        <v>0</v>
      </c>
      <c r="F164" s="94">
        <f>((E96*(1-'5.Closing Stock &amp; W Capital'!$D$15))+(D96*'5.Closing Stock &amp; W Capital'!$D$15))*$C$152*F$124</f>
        <v>0</v>
      </c>
      <c r="G164" s="94">
        <f>((F96*(1-'5.Closing Stock &amp; W Capital'!$D$15))+(E96*'5.Closing Stock &amp; W Capital'!$D$15))*$C$152*G$124</f>
        <v>0</v>
      </c>
      <c r="H164" s="94">
        <f>((G96*(1-'5.Closing Stock &amp; W Capital'!$D$15))+(F96*'5.Closing Stock &amp; W Capital'!$D$15))*$C$152*H$124</f>
        <v>0</v>
      </c>
      <c r="I164" s="94">
        <f>((H96*(1-'5.Closing Stock &amp; W Capital'!$D$15))+(G96*'5.Closing Stock &amp; W Capital'!$D$15))*$C$152*I$124</f>
        <v>0</v>
      </c>
      <c r="J164" s="94">
        <f>((I96*(1-'5.Closing Stock &amp; W Capital'!$D$15))+(H96*'5.Closing Stock &amp; W Capital'!$D$15))*$C$152*J$124</f>
        <v>0</v>
      </c>
      <c r="K164" s="92"/>
      <c r="U164" s="92"/>
      <c r="V164" s="92"/>
      <c r="W164" s="92"/>
    </row>
    <row r="165" spans="1:23">
      <c r="A165" s="93" t="str">
        <f t="shared" si="53"/>
        <v>Okra</v>
      </c>
      <c r="B165" s="93"/>
      <c r="C165" s="254"/>
      <c r="D165" s="94">
        <f>(C97*(1-'5.Closing Stock &amp; W Capital'!$D$15))*$C165*D$124</f>
        <v>0</v>
      </c>
      <c r="E165" s="94">
        <f>((D97*(1-'5.Closing Stock &amp; W Capital'!$D$15))+(C97*'5.Closing Stock &amp; W Capital'!$D$15))*$C165*E$124</f>
        <v>0</v>
      </c>
      <c r="F165" s="94">
        <f>((E97*(1-'5.Closing Stock &amp; W Capital'!$D$15))+(D97*'5.Closing Stock &amp; W Capital'!$D$15))*$C$152*F$124</f>
        <v>0</v>
      </c>
      <c r="G165" s="94">
        <f>((F97*(1-'5.Closing Stock &amp; W Capital'!$D$15))+(E97*'5.Closing Stock &amp; W Capital'!$D$15))*$C$152*G$124</f>
        <v>0</v>
      </c>
      <c r="H165" s="94">
        <f>((G97*(1-'5.Closing Stock &amp; W Capital'!$D$15))+(F97*'5.Closing Stock &amp; W Capital'!$D$15))*$C$152*H$124</f>
        <v>0</v>
      </c>
      <c r="I165" s="94">
        <f>((H97*(1-'5.Closing Stock &amp; W Capital'!$D$15))+(G97*'5.Closing Stock &amp; W Capital'!$D$15))*$C$152*I$124</f>
        <v>0</v>
      </c>
      <c r="J165" s="94">
        <f>((I97*(1-'5.Closing Stock &amp; W Capital'!$D$15))+(H97*'5.Closing Stock &amp; W Capital'!$D$15))*$C$152*J$124</f>
        <v>0</v>
      </c>
      <c r="K165" s="92"/>
      <c r="U165" s="92"/>
      <c r="V165" s="92"/>
      <c r="W165" s="92"/>
    </row>
    <row r="166" spans="1:23">
      <c r="A166" s="93" t="str">
        <f t="shared" si="53"/>
        <v>Chilli</v>
      </c>
      <c r="B166" s="93"/>
      <c r="C166" s="254"/>
      <c r="D166" s="94">
        <f>(C98*(1-'5.Closing Stock &amp; W Capital'!$D$15))*$C166*D$124</f>
        <v>0</v>
      </c>
      <c r="E166" s="94">
        <f>((D98*(1-'5.Closing Stock &amp; W Capital'!$D$15))+(C98*'5.Closing Stock &amp; W Capital'!$D$15))*$C166*E$124</f>
        <v>0</v>
      </c>
      <c r="F166" s="94">
        <f>((E98*(1-'5.Closing Stock &amp; W Capital'!$D$15))+(D98*'5.Closing Stock &amp; W Capital'!$D$15))*$C$152*F$124</f>
        <v>0</v>
      </c>
      <c r="G166" s="94">
        <f>((F98*(1-'5.Closing Stock &amp; W Capital'!$D$15))+(E98*'5.Closing Stock &amp; W Capital'!$D$15))*$C$152*G$124</f>
        <v>0</v>
      </c>
      <c r="H166" s="94">
        <f>((G98*(1-'5.Closing Stock &amp; W Capital'!$D$15))+(F98*'5.Closing Stock &amp; W Capital'!$D$15))*$C$152*H$124</f>
        <v>0</v>
      </c>
      <c r="I166" s="94">
        <f>((H98*(1-'5.Closing Stock &amp; W Capital'!$D$15))+(G98*'5.Closing Stock &amp; W Capital'!$D$15))*$C$152*I$124</f>
        <v>0</v>
      </c>
      <c r="J166" s="94">
        <f>((I98*(1-'5.Closing Stock &amp; W Capital'!$D$15))+(H98*'5.Closing Stock &amp; W Capital'!$D$15))*$C$152*J$124</f>
        <v>0</v>
      </c>
      <c r="K166" s="92"/>
      <c r="U166" s="92"/>
      <c r="V166" s="92"/>
      <c r="W166" s="92"/>
    </row>
    <row r="167" spans="1:23">
      <c r="A167" s="93" t="str">
        <f t="shared" si="53"/>
        <v>Brinjal</v>
      </c>
      <c r="B167" s="93"/>
      <c r="C167" s="254"/>
      <c r="D167" s="94">
        <f>(C99*(1-'5.Closing Stock &amp; W Capital'!$D$15))*$C167*D$124</f>
        <v>0</v>
      </c>
      <c r="E167" s="94">
        <f>((D99*(1-'5.Closing Stock &amp; W Capital'!$D$15))+(C99*'5.Closing Stock &amp; W Capital'!$D$15))*$C167*E$124</f>
        <v>0</v>
      </c>
      <c r="F167" s="94">
        <f>((E99*(1-'5.Closing Stock &amp; W Capital'!$D$15))+(D99*'5.Closing Stock &amp; W Capital'!$D$15))*$C$152*F$124</f>
        <v>0</v>
      </c>
      <c r="G167" s="94">
        <f>((F99*(1-'5.Closing Stock &amp; W Capital'!$D$15))+(E99*'5.Closing Stock &amp; W Capital'!$D$15))*$C$152*G$124</f>
        <v>0</v>
      </c>
      <c r="H167" s="94">
        <f>((G99*(1-'5.Closing Stock &amp; W Capital'!$D$15))+(F99*'5.Closing Stock &amp; W Capital'!$D$15))*$C$152*H$124</f>
        <v>0</v>
      </c>
      <c r="I167" s="94">
        <f>((H99*(1-'5.Closing Stock &amp; W Capital'!$D$15))+(G99*'5.Closing Stock &amp; W Capital'!$D$15))*$C$152*I$124</f>
        <v>0</v>
      </c>
      <c r="J167" s="94">
        <f>((I99*(1-'5.Closing Stock &amp; W Capital'!$D$15))+(H99*'5.Closing Stock &amp; W Capital'!$D$15))*$C$152*J$124</f>
        <v>0</v>
      </c>
      <c r="K167" s="92"/>
      <c r="U167" s="92"/>
      <c r="V167" s="92"/>
      <c r="W167" s="92"/>
    </row>
    <row r="168" spans="1:23">
      <c r="A168" s="93">
        <f t="shared" si="53"/>
        <v>0</v>
      </c>
      <c r="B168" s="93"/>
      <c r="C168" s="254"/>
      <c r="D168" s="94">
        <f>(C100*(1-'5.Closing Stock &amp; W Capital'!$D$15))*$C168*D$124</f>
        <v>0</v>
      </c>
      <c r="E168" s="94">
        <f>((D100*(1-'5.Closing Stock &amp; W Capital'!$D$15))+(C100*'5.Closing Stock &amp; W Capital'!$D$15))*$C168*E$124</f>
        <v>0</v>
      </c>
      <c r="F168" s="94">
        <f>((E100*(1-'5.Closing Stock &amp; W Capital'!$D$15))+(D100*'5.Closing Stock &amp; W Capital'!$D$15))*$C$152*F$124</f>
        <v>0</v>
      </c>
      <c r="G168" s="94">
        <f>((F100*(1-'5.Closing Stock &amp; W Capital'!$D$15))+(E100*'5.Closing Stock &amp; W Capital'!$D$15))*$C$152*G$124</f>
        <v>0</v>
      </c>
      <c r="H168" s="94">
        <f>((G100*(1-'5.Closing Stock &amp; W Capital'!$D$15))+(F100*'5.Closing Stock &amp; W Capital'!$D$15))*$C$152*H$124</f>
        <v>0</v>
      </c>
      <c r="I168" s="94">
        <f>((H100*(1-'5.Closing Stock &amp; W Capital'!$D$15))+(G100*'5.Closing Stock &amp; W Capital'!$D$15))*$C$152*I$124</f>
        <v>0</v>
      </c>
      <c r="J168" s="94">
        <f>((I100*(1-'5.Closing Stock &amp; W Capital'!$D$15))+(H100*'5.Closing Stock &amp; W Capital'!$D$15))*$C$152*J$124</f>
        <v>0</v>
      </c>
      <c r="K168" s="92"/>
      <c r="U168" s="92"/>
      <c r="V168" s="92"/>
      <c r="W168" s="92"/>
    </row>
    <row r="169" spans="1:23">
      <c r="A169" s="93">
        <f t="shared" si="53"/>
        <v>0</v>
      </c>
      <c r="B169" s="93"/>
      <c r="C169" s="254"/>
      <c r="D169" s="94">
        <f>(C101*(1-'5.Closing Stock &amp; W Capital'!$D$15))*$C169*D$124</f>
        <v>0</v>
      </c>
      <c r="E169" s="94">
        <f>((D101*(1-'5.Closing Stock &amp; W Capital'!$D$15))+(C101*'5.Closing Stock &amp; W Capital'!$D$15))*$C169*E$124</f>
        <v>0</v>
      </c>
      <c r="F169" s="94">
        <f>((E101*(1-'5.Closing Stock &amp; W Capital'!$D$15))+(D101*'5.Closing Stock &amp; W Capital'!$D$15))*$C$152*F$124</f>
        <v>0</v>
      </c>
      <c r="G169" s="94">
        <f>((F101*(1-'5.Closing Stock &amp; W Capital'!$D$15))+(E101*'5.Closing Stock &amp; W Capital'!$D$15))*$C$152*G$124</f>
        <v>0</v>
      </c>
      <c r="H169" s="94">
        <f>((G101*(1-'5.Closing Stock &amp; W Capital'!$D$15))+(F101*'5.Closing Stock &amp; W Capital'!$D$15))*$C$152*H$124</f>
        <v>0</v>
      </c>
      <c r="I169" s="94">
        <f>((H101*(1-'5.Closing Stock &amp; W Capital'!$D$15))+(G101*'5.Closing Stock &amp; W Capital'!$D$15))*$C$152*I$124</f>
        <v>0</v>
      </c>
      <c r="J169" s="94">
        <f>((I101*(1-'5.Closing Stock &amp; W Capital'!$D$15))+(H101*'5.Closing Stock &amp; W Capital'!$D$15))*$C$152*J$124</f>
        <v>0</v>
      </c>
      <c r="K169" s="92"/>
      <c r="U169" s="92"/>
      <c r="V169" s="92"/>
      <c r="W169" s="92"/>
    </row>
    <row r="170" spans="1:23">
      <c r="A170" s="93">
        <f t="shared" si="53"/>
        <v>0</v>
      </c>
      <c r="B170" s="93"/>
      <c r="C170" s="254"/>
      <c r="D170" s="94">
        <f>(C102*(1-'5.Closing Stock &amp; W Capital'!$D$15))*$C170*D$124</f>
        <v>0</v>
      </c>
      <c r="E170" s="94">
        <f>((D102*(1-'5.Closing Stock &amp; W Capital'!$D$15))+(C102*'5.Closing Stock &amp; W Capital'!$D$15))*$C170*E$124</f>
        <v>0</v>
      </c>
      <c r="F170" s="94">
        <f>((E102*(1-'5.Closing Stock &amp; W Capital'!$D$15))+(D102*'5.Closing Stock &amp; W Capital'!$D$15))*$C$152*F$124</f>
        <v>0</v>
      </c>
      <c r="G170" s="94">
        <f>((F102*(1-'5.Closing Stock &amp; W Capital'!$D$15))+(E102*'5.Closing Stock &amp; W Capital'!$D$15))*$C$152*G$124</f>
        <v>0</v>
      </c>
      <c r="H170" s="94">
        <f>((G102*(1-'5.Closing Stock &amp; W Capital'!$D$15))+(F102*'5.Closing Stock &amp; W Capital'!$D$15))*$C$152*H$124</f>
        <v>0</v>
      </c>
      <c r="I170" s="94">
        <f>((H102*(1-'5.Closing Stock &amp; W Capital'!$D$15))+(G102*'5.Closing Stock &amp; W Capital'!$D$15))*$C$152*I$124</f>
        <v>0</v>
      </c>
      <c r="J170" s="94">
        <f>((I102*(1-'5.Closing Stock &amp; W Capital'!$D$15))+(H102*'5.Closing Stock &amp; W Capital'!$D$15))*$C$152*J$124</f>
        <v>0</v>
      </c>
      <c r="K170" s="92"/>
      <c r="U170" s="92"/>
      <c r="V170" s="92"/>
      <c r="W170" s="92"/>
    </row>
    <row r="171" spans="1:23">
      <c r="A171" s="93">
        <f t="shared" si="53"/>
        <v>0</v>
      </c>
      <c r="B171" s="93"/>
      <c r="C171" s="254"/>
      <c r="D171" s="94">
        <f>(C103*(1-'5.Closing Stock &amp; W Capital'!$D$15))*$C171*D$124</f>
        <v>0</v>
      </c>
      <c r="E171" s="94">
        <f>((D103*(1-'5.Closing Stock &amp; W Capital'!$D$15))+(C103*'5.Closing Stock &amp; W Capital'!$D$15))*$C171*E$124</f>
        <v>0</v>
      </c>
      <c r="F171" s="94">
        <f>((E103*(1-'5.Closing Stock &amp; W Capital'!$D$15))+(D103*'5.Closing Stock &amp; W Capital'!$D$15))*$C$152*F$124</f>
        <v>0</v>
      </c>
      <c r="G171" s="94">
        <f>((F103*(1-'5.Closing Stock &amp; W Capital'!$D$15))+(E103*'5.Closing Stock &amp; W Capital'!$D$15))*$C$152*G$124</f>
        <v>0</v>
      </c>
      <c r="H171" s="94">
        <f>((G103*(1-'5.Closing Stock &amp; W Capital'!$D$15))+(F103*'5.Closing Stock &amp; W Capital'!$D$15))*$C$152*H$124</f>
        <v>0</v>
      </c>
      <c r="I171" s="94">
        <f>((H103*(1-'5.Closing Stock &amp; W Capital'!$D$15))+(G103*'5.Closing Stock &amp; W Capital'!$D$15))*$C$152*I$124</f>
        <v>0</v>
      </c>
      <c r="J171" s="94">
        <f>((I103*(1-'5.Closing Stock &amp; W Capital'!$D$15))+(H103*'5.Closing Stock &amp; W Capital'!$D$15))*$C$152*J$124</f>
        <v>0</v>
      </c>
      <c r="K171" s="92"/>
      <c r="U171" s="92"/>
      <c r="V171" s="92"/>
      <c r="W171" s="92"/>
    </row>
    <row r="172" spans="1:23">
      <c r="A172" s="93">
        <f t="shared" si="53"/>
        <v>0</v>
      </c>
      <c r="B172" s="93"/>
      <c r="C172" s="254"/>
      <c r="D172" s="94">
        <f>(C104*(1-'5.Closing Stock &amp; W Capital'!$D$15))*$C172*D$124</f>
        <v>0</v>
      </c>
      <c r="E172" s="94">
        <f>((D104*(1-'5.Closing Stock &amp; W Capital'!$D$15))+(C104*'5.Closing Stock &amp; W Capital'!$D$15))*$C172*E$124</f>
        <v>0</v>
      </c>
      <c r="F172" s="94">
        <f>((E104*(1-'5.Closing Stock &amp; W Capital'!$D$15))+(D104*'5.Closing Stock &amp; W Capital'!$D$15))*$C$152*F$124</f>
        <v>0</v>
      </c>
      <c r="G172" s="94">
        <f>((F104*(1-'5.Closing Stock &amp; W Capital'!$D$15))+(E104*'5.Closing Stock &amp; W Capital'!$D$15))*$C$152*G$124</f>
        <v>0</v>
      </c>
      <c r="H172" s="94">
        <f>((G104*(1-'5.Closing Stock &amp; W Capital'!$D$15))+(F104*'5.Closing Stock &amp; W Capital'!$D$15))*$C$152*H$124</f>
        <v>0</v>
      </c>
      <c r="I172" s="94">
        <f>((H104*(1-'5.Closing Stock &amp; W Capital'!$D$15))+(G104*'5.Closing Stock &amp; W Capital'!$D$15))*$C$152*I$124</f>
        <v>0</v>
      </c>
      <c r="J172" s="94">
        <f>((I104*(1-'5.Closing Stock &amp; W Capital'!$D$15))+(H104*'5.Closing Stock &amp; W Capital'!$D$15))*$C$152*J$124</f>
        <v>0</v>
      </c>
      <c r="K172" s="92"/>
      <c r="U172" s="92"/>
      <c r="V172" s="92"/>
      <c r="W172" s="92"/>
    </row>
    <row r="173" spans="1:23">
      <c r="A173" s="93">
        <f t="shared" si="53"/>
        <v>0</v>
      </c>
      <c r="B173" s="93"/>
      <c r="C173" s="254"/>
      <c r="D173" s="94">
        <f>(C105*(1-'5.Closing Stock &amp; W Capital'!$D$15))*$C173*D$124</f>
        <v>0</v>
      </c>
      <c r="E173" s="94">
        <f>((D105*(1-'5.Closing Stock &amp; W Capital'!$D$15))+(C105*'5.Closing Stock &amp; W Capital'!$D$15))*$C173*E$124</f>
        <v>0</v>
      </c>
      <c r="F173" s="94">
        <f>((E105*(1-'5.Closing Stock &amp; W Capital'!$D$15))+(D105*'5.Closing Stock &amp; W Capital'!$D$15))*$C$152*F$124</f>
        <v>0</v>
      </c>
      <c r="G173" s="94">
        <f>((F105*(1-'5.Closing Stock &amp; W Capital'!$D$15))+(E105*'5.Closing Stock &amp; W Capital'!$D$15))*$C$152*G$124</f>
        <v>0</v>
      </c>
      <c r="H173" s="94">
        <f>((G105*(1-'5.Closing Stock &amp; W Capital'!$D$15))+(F105*'5.Closing Stock &amp; W Capital'!$D$15))*$C$152*H$124</f>
        <v>0</v>
      </c>
      <c r="I173" s="94">
        <f>((H105*(1-'5.Closing Stock &amp; W Capital'!$D$15))+(G105*'5.Closing Stock &amp; W Capital'!$D$15))*$C$152*I$124</f>
        <v>0</v>
      </c>
      <c r="J173" s="94">
        <f>((I105*(1-'5.Closing Stock &amp; W Capital'!$D$15))+(H105*'5.Closing Stock &amp; W Capital'!$D$15))*$C$152*J$124</f>
        <v>0</v>
      </c>
      <c r="K173" s="92"/>
      <c r="U173" s="92"/>
      <c r="V173" s="92"/>
      <c r="W173" s="92"/>
    </row>
    <row r="174" spans="1:23">
      <c r="A174" s="93">
        <f t="shared" si="53"/>
        <v>0</v>
      </c>
      <c r="B174" s="93"/>
      <c r="C174" s="254"/>
      <c r="D174" s="94">
        <f>(C106*(1-'5.Closing Stock &amp; W Capital'!$D$15))*$C174*D$124</f>
        <v>0</v>
      </c>
      <c r="E174" s="94">
        <f>((D106*(1-'5.Closing Stock &amp; W Capital'!$D$15))+(C106*'5.Closing Stock &amp; W Capital'!$D$15))*$C174*E$124</f>
        <v>0</v>
      </c>
      <c r="F174" s="94">
        <f>((E106*(1-'5.Closing Stock &amp; W Capital'!$D$15))+(D106*'5.Closing Stock &amp; W Capital'!$D$15))*$C$152*F$124</f>
        <v>0</v>
      </c>
      <c r="G174" s="94">
        <f>((F106*(1-'5.Closing Stock &amp; W Capital'!$D$15))+(E106*'5.Closing Stock &amp; W Capital'!$D$15))*$C$152*G$124</f>
        <v>0</v>
      </c>
      <c r="H174" s="94">
        <f>((G106*(1-'5.Closing Stock &amp; W Capital'!$D$15))+(F106*'5.Closing Stock &amp; W Capital'!$D$15))*$C$152*H$124</f>
        <v>0</v>
      </c>
      <c r="I174" s="94">
        <f>((H106*(1-'5.Closing Stock &amp; W Capital'!$D$15))+(G106*'5.Closing Stock &amp; W Capital'!$D$15))*$C$152*I$124</f>
        <v>0</v>
      </c>
      <c r="J174" s="94">
        <f>((I106*(1-'5.Closing Stock &amp; W Capital'!$D$15))+(H106*'5.Closing Stock &amp; W Capital'!$D$15))*$C$152*J$124</f>
        <v>0</v>
      </c>
      <c r="K174" s="92"/>
      <c r="U174" s="92"/>
      <c r="V174" s="92"/>
      <c r="W174" s="92"/>
    </row>
    <row r="175" spans="1:23">
      <c r="A175" s="93" t="str">
        <f t="shared" si="53"/>
        <v>Pomegranate</v>
      </c>
      <c r="B175" s="93"/>
      <c r="C175" s="254"/>
      <c r="D175" s="94">
        <f>(C107*(1-'5.Closing Stock &amp; W Capital'!$D$15))*$C175*D$124</f>
        <v>0</v>
      </c>
      <c r="E175" s="94">
        <f>((D107*(1-'5.Closing Stock &amp; W Capital'!$D$15))+(C107*'5.Closing Stock &amp; W Capital'!$D$15))*$C175*E$124</f>
        <v>0</v>
      </c>
      <c r="F175" s="94">
        <f>((E107*(1-'5.Closing Stock &amp; W Capital'!$D$15))+(D107*'5.Closing Stock &amp; W Capital'!$D$15))*$C$152*F$124</f>
        <v>0</v>
      </c>
      <c r="G175" s="94">
        <f>((F107*(1-'5.Closing Stock &amp; W Capital'!$D$15))+(E107*'5.Closing Stock &amp; W Capital'!$D$15))*$C$152*G$124</f>
        <v>0</v>
      </c>
      <c r="H175" s="94">
        <f>((G107*(1-'5.Closing Stock &amp; W Capital'!$D$15))+(F107*'5.Closing Stock &amp; W Capital'!$D$15))*$C$152*H$124</f>
        <v>0</v>
      </c>
      <c r="I175" s="94">
        <f>((H107*(1-'5.Closing Stock &amp; W Capital'!$D$15))+(G107*'5.Closing Stock &amp; W Capital'!$D$15))*$C$152*I$124</f>
        <v>0</v>
      </c>
      <c r="J175" s="94">
        <f>((I107*(1-'5.Closing Stock &amp; W Capital'!$D$15))+(H107*'5.Closing Stock &amp; W Capital'!$D$15))*$C$152*J$124</f>
        <v>0</v>
      </c>
      <c r="K175" s="92"/>
      <c r="U175" s="92"/>
      <c r="V175" s="92"/>
      <c r="W175" s="92"/>
    </row>
    <row r="176" spans="1:23">
      <c r="A176" s="93" t="str">
        <f t="shared" si="53"/>
        <v>Custard Apple</v>
      </c>
      <c r="B176" s="93"/>
      <c r="C176" s="254"/>
      <c r="D176" s="94">
        <f>(C108*(1-'5.Closing Stock &amp; W Capital'!$D$15))*$C176*D$124</f>
        <v>0</v>
      </c>
      <c r="E176" s="94">
        <f>((D108*(1-'5.Closing Stock &amp; W Capital'!$D$15))+(C108*'5.Closing Stock &amp; W Capital'!$D$15))*$C176*E$124</f>
        <v>0</v>
      </c>
      <c r="F176" s="94">
        <f>((E108*(1-'5.Closing Stock &amp; W Capital'!$D$15))+(D108*'5.Closing Stock &amp; W Capital'!$D$15))*$C$152*F$124</f>
        <v>0</v>
      </c>
      <c r="G176" s="94">
        <f>((F108*(1-'5.Closing Stock &amp; W Capital'!$D$15))+(E108*'5.Closing Stock &amp; W Capital'!$D$15))*$C$152*G$124</f>
        <v>0</v>
      </c>
      <c r="H176" s="94">
        <f>((G108*(1-'5.Closing Stock &amp; W Capital'!$D$15))+(F108*'5.Closing Stock &amp; W Capital'!$D$15))*$C$152*H$124</f>
        <v>0</v>
      </c>
      <c r="I176" s="94">
        <f>((H108*(1-'5.Closing Stock &amp; W Capital'!$D$15))+(G108*'5.Closing Stock &amp; W Capital'!$D$15))*$C$152*I$124</f>
        <v>0</v>
      </c>
      <c r="J176" s="94">
        <f>((I108*(1-'5.Closing Stock &amp; W Capital'!$D$15))+(H108*'5.Closing Stock &amp; W Capital'!$D$15))*$C$152*J$124</f>
        <v>0</v>
      </c>
      <c r="K176" s="92"/>
      <c r="U176" s="92"/>
      <c r="V176" s="92"/>
      <c r="W176" s="92"/>
    </row>
    <row r="177" spans="1:23">
      <c r="A177" s="93" t="str">
        <f t="shared" si="53"/>
        <v>Guava</v>
      </c>
      <c r="B177" s="93"/>
      <c r="C177" s="254"/>
      <c r="D177" s="94">
        <f>(C109*(1-'5.Closing Stock &amp; W Capital'!$D$15))*$C177*D$124</f>
        <v>0</v>
      </c>
      <c r="E177" s="94">
        <f>((D109*(1-'5.Closing Stock &amp; W Capital'!$D$15))+(C109*'5.Closing Stock &amp; W Capital'!$D$15))*$C177*E$124</f>
        <v>0</v>
      </c>
      <c r="F177" s="94">
        <f>((E109*(1-'5.Closing Stock &amp; W Capital'!$D$15))+(D109*'5.Closing Stock &amp; W Capital'!$D$15))*$C$152*F$124</f>
        <v>0</v>
      </c>
      <c r="G177" s="94">
        <f>((F109*(1-'5.Closing Stock &amp; W Capital'!$D$15))+(E109*'5.Closing Stock &amp; W Capital'!$D$15))*$C$152*G$124</f>
        <v>0</v>
      </c>
      <c r="H177" s="94">
        <f>((G109*(1-'5.Closing Stock &amp; W Capital'!$D$15))+(F109*'5.Closing Stock &amp; W Capital'!$D$15))*$C$152*H$124</f>
        <v>0</v>
      </c>
      <c r="I177" s="94">
        <f>((H109*(1-'5.Closing Stock &amp; W Capital'!$D$15))+(G109*'5.Closing Stock &amp; W Capital'!$D$15))*$C$152*I$124</f>
        <v>0</v>
      </c>
      <c r="J177" s="94">
        <f>((I109*(1-'5.Closing Stock &amp; W Capital'!$D$15))+(H109*'5.Closing Stock &amp; W Capital'!$D$15))*$C$152*J$124</f>
        <v>0</v>
      </c>
      <c r="K177" s="92"/>
      <c r="U177" s="92"/>
      <c r="V177" s="92"/>
      <c r="W177" s="92"/>
    </row>
    <row r="178" spans="1:23">
      <c r="A178" s="93" t="str">
        <f t="shared" si="53"/>
        <v>Citrus</v>
      </c>
      <c r="B178" s="93"/>
      <c r="C178" s="254"/>
      <c r="D178" s="94">
        <f>(C110*(1-'5.Closing Stock &amp; W Capital'!$D$15))*$C178*D$124</f>
        <v>0</v>
      </c>
      <c r="E178" s="94">
        <f>((D110*(1-'5.Closing Stock &amp; W Capital'!$D$15))+(C110*'5.Closing Stock &amp; W Capital'!$D$15))*$C178*E$124</f>
        <v>0</v>
      </c>
      <c r="F178" s="94">
        <f>((E110*(1-'5.Closing Stock &amp; W Capital'!$D$15))+(D110*'5.Closing Stock &amp; W Capital'!$D$15))*$C$152*F$124</f>
        <v>0</v>
      </c>
      <c r="G178" s="94">
        <f>((F110*(1-'5.Closing Stock &amp; W Capital'!$D$15))+(E110*'5.Closing Stock &amp; W Capital'!$D$15))*$C$152*G$124</f>
        <v>0</v>
      </c>
      <c r="H178" s="94">
        <f>((G110*(1-'5.Closing Stock &amp; W Capital'!$D$15))+(F110*'5.Closing Stock &amp; W Capital'!$D$15))*$C$152*H$124</f>
        <v>0</v>
      </c>
      <c r="I178" s="94">
        <f>((H110*(1-'5.Closing Stock &amp; W Capital'!$D$15))+(G110*'5.Closing Stock &amp; W Capital'!$D$15))*$C$152*I$124</f>
        <v>0</v>
      </c>
      <c r="J178" s="94">
        <f>((I110*(1-'5.Closing Stock &amp; W Capital'!$D$15))+(H110*'5.Closing Stock &amp; W Capital'!$D$15))*$C$152*J$124</f>
        <v>0</v>
      </c>
      <c r="K178" s="92"/>
      <c r="U178" s="92"/>
      <c r="V178" s="92"/>
      <c r="W178" s="92"/>
    </row>
    <row r="179" spans="1:23">
      <c r="A179" s="93">
        <f t="shared" si="53"/>
        <v>0</v>
      </c>
      <c r="B179" s="93"/>
      <c r="C179" s="254"/>
      <c r="D179" s="94"/>
      <c r="E179" s="94"/>
      <c r="F179" s="94"/>
      <c r="G179" s="94"/>
      <c r="H179" s="94"/>
      <c r="I179" s="94"/>
      <c r="J179" s="94"/>
      <c r="K179" s="92"/>
      <c r="U179" s="92"/>
      <c r="V179" s="92"/>
      <c r="W179" s="92"/>
    </row>
    <row r="180" spans="1:23">
      <c r="A180" s="93"/>
      <c r="B180" s="93"/>
      <c r="C180" s="94"/>
      <c r="D180" s="94"/>
      <c r="E180" s="94"/>
      <c r="F180" s="94"/>
      <c r="G180" s="94"/>
      <c r="H180" s="94"/>
      <c r="I180" s="94"/>
      <c r="J180" s="94"/>
      <c r="K180" s="92"/>
      <c r="U180" s="92"/>
      <c r="V180" s="92"/>
      <c r="W180" s="92"/>
    </row>
    <row r="181" spans="1:23">
      <c r="A181" s="93" t="s">
        <v>288</v>
      </c>
      <c r="B181" s="93"/>
      <c r="C181" s="94"/>
      <c r="D181" s="94"/>
      <c r="E181" s="94"/>
      <c r="F181" s="94"/>
      <c r="G181" s="94"/>
      <c r="H181" s="94"/>
      <c r="I181" s="94"/>
      <c r="J181" s="94"/>
      <c r="K181" s="92"/>
      <c r="U181" s="92"/>
      <c r="V181" s="92"/>
      <c r="W181" s="92"/>
    </row>
    <row r="182" spans="1:23">
      <c r="A182" s="93" t="s">
        <v>412</v>
      </c>
      <c r="B182" s="93"/>
      <c r="C182" s="254">
        <f>350/50</f>
        <v>7</v>
      </c>
      <c r="D182" s="94">
        <f>(C114*(1-'5.Closing Stock &amp; W Capital'!$D$15))*$C$182*D124</f>
        <v>12645642.239999998</v>
      </c>
      <c r="E182" s="94">
        <f>((D114*(1-'5.Closing Stock &amp; W Capital'!$D$15))+(C114*'5.Closing Stock &amp; W Capital'!$D$15))*$C$182*E124</f>
        <v>15071785.344000001</v>
      </c>
      <c r="F182" s="94">
        <f>((E114*(1-'5.Closing Stock &amp; W Capital'!$D$15))+(D114*'5.Closing Stock &amp; W Capital'!$D$15))*$C$182*F124</f>
        <v>17585705.491200004</v>
      </c>
      <c r="G182" s="94">
        <f>((F114*(1-'5.Closing Stock &amp; W Capital'!$D$15))+(E114*'5.Closing Stock &amp; W Capital'!$D$15))*$C$182*G124</f>
        <v>20313338.189760007</v>
      </c>
      <c r="H182" s="94">
        <f>((G114*(1-'5.Closing Stock &amp; W Capital'!$D$15))+(F114*'5.Closing Stock &amp; W Capital'!$D$15))*$C$182*H124</f>
        <v>23269769.894448016</v>
      </c>
      <c r="I182" s="94">
        <f>((H114*(1-'5.Closing Stock &amp; W Capital'!$D$15))+(G114*'5.Closing Stock &amp; W Capital'!$D$15))*$C$182*I124</f>
        <v>26471061.424130414</v>
      </c>
      <c r="J182" s="94">
        <f>((I114*(1-'5.Closing Stock &amp; W Capital'!$D$15))+(H114*'5.Closing Stock &amp; W Capital'!$D$15))*$C$182*J124</f>
        <v>29934307.682044942</v>
      </c>
      <c r="K182" s="92"/>
      <c r="U182" s="92"/>
      <c r="V182" s="92"/>
      <c r="W182" s="92"/>
    </row>
    <row r="183" spans="1:23">
      <c r="A183" s="93" t="s">
        <v>179</v>
      </c>
      <c r="B183" s="93"/>
      <c r="C183" s="254">
        <v>8</v>
      </c>
      <c r="D183" s="94">
        <f>(C115*(1-'5.Closing Stock &amp; W Capital'!$D$15))*$C$183*D124</f>
        <v>4335648.7679999992</v>
      </c>
      <c r="E183" s="94">
        <f>((D115*(1-'5.Closing Stock &amp; W Capital'!$D$15))+(C115*'5.Closing Stock &amp; W Capital'!$D$15))*$C$183*E124</f>
        <v>5167469.2607999993</v>
      </c>
      <c r="F183" s="94">
        <f>((E115*(1-'5.Closing Stock &amp; W Capital'!$D$15))+(D115*'5.Closing Stock &amp; W Capital'!$D$15))*$C$183*F124</f>
        <v>6029384.7398400018</v>
      </c>
      <c r="G183" s="94">
        <f>((F115*(1-'5.Closing Stock &amp; W Capital'!$D$15))+(E115*'5.Closing Stock &amp; W Capital'!$D$15))*$C$183*G124</f>
        <v>6964573.0936320014</v>
      </c>
      <c r="H183" s="94">
        <f>((G115*(1-'5.Closing Stock &amp; W Capital'!$D$15))+(F115*'5.Closing Stock &amp; W Capital'!$D$15))*$C$183*H124</f>
        <v>7978206.8209536029</v>
      </c>
      <c r="I183" s="94">
        <f>((H115*(1-'5.Closing Stock &amp; W Capital'!$D$15))+(G115*'5.Closing Stock &amp; W Capital'!$D$15))*$C$183*I124</f>
        <v>9075792.4882732835</v>
      </c>
      <c r="J183" s="94">
        <f>((I115*(1-'5.Closing Stock &amp; W Capital'!$D$15))+(H115*'5.Closing Stock &amp; W Capital'!$D$15))*$C$183*J124</f>
        <v>10263191.20527255</v>
      </c>
      <c r="K183" s="92"/>
      <c r="U183" s="92"/>
      <c r="V183" s="92"/>
      <c r="W183" s="92"/>
    </row>
    <row r="184" spans="1:23">
      <c r="A184" s="93" t="s">
        <v>181</v>
      </c>
      <c r="B184" s="93"/>
      <c r="C184" s="254">
        <v>30</v>
      </c>
      <c r="D184" s="94">
        <f>(C116*(1-'5.Closing Stock &amp; W Capital'!$D$15))*$C$184*D124</f>
        <v>16258682.879999997</v>
      </c>
      <c r="E184" s="94">
        <f>((D116*(1-'5.Closing Stock &amp; W Capital'!$D$15))+(C116*'5.Closing Stock &amp; W Capital'!$D$15))*$C$184*E124</f>
        <v>19378009.727999996</v>
      </c>
      <c r="F184" s="94">
        <f>((E116*(1-'5.Closing Stock &amp; W Capital'!$D$15))+(D116*'5.Closing Stock &amp; W Capital'!$D$15))*$C$184*F124</f>
        <v>22610192.774400007</v>
      </c>
      <c r="G184" s="94">
        <f>((F116*(1-'5.Closing Stock &amp; W Capital'!$D$15))+(E116*'5.Closing Stock &amp; W Capital'!$D$15))*$C$184*G124</f>
        <v>26117149.101120006</v>
      </c>
      <c r="H184" s="94">
        <f>((G116*(1-'5.Closing Stock &amp; W Capital'!$D$15))+(F116*'5.Closing Stock &amp; W Capital'!$D$15))*$C$184*H124</f>
        <v>29918275.57857601</v>
      </c>
      <c r="I184" s="94">
        <f>((H116*(1-'5.Closing Stock &amp; W Capital'!$D$15))+(G116*'5.Closing Stock &amp; W Capital'!$D$15))*$C$184*I124</f>
        <v>34034221.831024811</v>
      </c>
      <c r="J184" s="94">
        <f>((I116*(1-'5.Closing Stock &amp; W Capital'!$D$15))+(H116*'5.Closing Stock &amp; W Capital'!$D$15))*$C$184*J124</f>
        <v>38486967.01977206</v>
      </c>
      <c r="K184" s="92"/>
      <c r="U184" s="92"/>
      <c r="V184" s="92"/>
      <c r="W184" s="92"/>
    </row>
    <row r="185" spans="1:23">
      <c r="A185" s="93"/>
      <c r="B185" s="93"/>
      <c r="C185" s="94"/>
      <c r="D185" s="94"/>
      <c r="E185" s="94"/>
      <c r="F185" s="94"/>
      <c r="G185" s="94"/>
      <c r="H185" s="94"/>
      <c r="I185" s="94"/>
      <c r="J185" s="94"/>
      <c r="K185" s="92"/>
      <c r="U185" s="92"/>
      <c r="V185" s="92"/>
      <c r="W185" s="92"/>
    </row>
    <row r="186" spans="1:23">
      <c r="A186" s="93" t="s">
        <v>180</v>
      </c>
      <c r="B186" s="93"/>
      <c r="C186" s="94"/>
      <c r="D186" s="94"/>
      <c r="E186" s="94"/>
      <c r="F186" s="94"/>
      <c r="G186" s="94"/>
      <c r="H186" s="94"/>
      <c r="I186" s="94"/>
      <c r="J186" s="94"/>
      <c r="K186" s="92"/>
      <c r="U186" s="92"/>
      <c r="V186" s="92"/>
      <c r="W186" s="92"/>
    </row>
    <row r="187" spans="1:23">
      <c r="A187" s="93" t="s">
        <v>186</v>
      </c>
      <c r="B187" s="93"/>
      <c r="C187" s="254">
        <v>5000</v>
      </c>
      <c r="D187" s="94">
        <f>(C118*(1-'5.Closing Stock &amp; W Capital'!$D$15))*$C$187*D124</f>
        <v>18065203.199999999</v>
      </c>
      <c r="E187" s="94">
        <f>((D118*(1-'5.Closing Stock &amp; W Capital'!$D$15))+(C118*'5.Closing Stock &amp; W Capital'!$D$15))*$C$187*E124</f>
        <v>21531121.919999998</v>
      </c>
      <c r="F187" s="94">
        <f>((E118*(1-'5.Closing Stock &amp; W Capital'!$D$15))+(D118*'5.Closing Stock &amp; W Capital'!$D$15))*$C$187*F124</f>
        <v>25122436.416000009</v>
      </c>
      <c r="G187" s="94">
        <f>((F118*(1-'5.Closing Stock &amp; W Capital'!$D$15))+(E118*'5.Closing Stock &amp; W Capital'!$D$15))*$C$187*G124</f>
        <v>29019054.556800012</v>
      </c>
      <c r="H187" s="94">
        <f>((G118*(1-'5.Closing Stock &amp; W Capital'!$D$15))+(F118*'5.Closing Stock &amp; W Capital'!$D$15))*$C$187*H124</f>
        <v>33242528.420640018</v>
      </c>
      <c r="I187" s="94">
        <f>((H118*(1-'5.Closing Stock &amp; W Capital'!$D$15))+(G118*'5.Closing Stock &amp; W Capital'!$D$15))*$C$187*I124</f>
        <v>37815802.034472018</v>
      </c>
      <c r="J187" s="94">
        <f>((I118*(1-'5.Closing Stock &amp; W Capital'!$D$15))+(H118*'5.Closing Stock &amp; W Capital'!$D$15))*$C$187*J124</f>
        <v>42763296.688635625</v>
      </c>
      <c r="K187" s="92"/>
      <c r="U187" s="204"/>
      <c r="V187" s="204"/>
      <c r="W187" s="204"/>
    </row>
    <row r="188" spans="1:23">
      <c r="A188" s="93" t="s">
        <v>187</v>
      </c>
      <c r="B188" s="93"/>
      <c r="C188" s="254">
        <v>3000</v>
      </c>
      <c r="D188" s="94">
        <f>(C119*(1-'5.Closing Stock &amp; W Capital'!$D$15))*$C$188*D124</f>
        <v>27097804.799999993</v>
      </c>
      <c r="E188" s="94">
        <f>((D119*(1-'5.Closing Stock &amp; W Capital'!$D$15))+(C119*'5.Closing Stock &amp; W Capital'!$D$15))*$C$188*E124</f>
        <v>32296682.879999999</v>
      </c>
      <c r="F188" s="94">
        <f>((E119*(1-'5.Closing Stock &amp; W Capital'!$D$15))+(D119*'5.Closing Stock &amp; W Capital'!$D$15))*$C$188*F124</f>
        <v>37683654.624000013</v>
      </c>
      <c r="G188" s="94">
        <f>((F119*(1-'5.Closing Stock &amp; W Capital'!$D$15))+(E119*'5.Closing Stock &amp; W Capital'!$D$15))*$C$188*G124</f>
        <v>43528581.835200012</v>
      </c>
      <c r="H188" s="94">
        <f>((G119*(1-'5.Closing Stock &amp; W Capital'!$D$15))+(F119*'5.Closing Stock &amp; W Capital'!$D$15))*$C$188*H124</f>
        <v>49863792.630960032</v>
      </c>
      <c r="I188" s="94">
        <f>((H119*(1-'5.Closing Stock &amp; W Capital'!$D$15))+(G119*'5.Closing Stock &amp; W Capital'!$D$15))*$C$188*I124</f>
        <v>56723703.05170802</v>
      </c>
      <c r="J188" s="94">
        <f>((I119*(1-'5.Closing Stock &amp; W Capital'!$D$15))+(H119*'5.Closing Stock &amp; W Capital'!$D$15))*$C$188*J124</f>
        <v>64144945.032953441</v>
      </c>
      <c r="K188" s="92"/>
      <c r="U188" s="92"/>
      <c r="V188" s="92"/>
      <c r="W188" s="92"/>
    </row>
    <row r="189" spans="1:23">
      <c r="A189" s="93"/>
      <c r="B189" s="93"/>
      <c r="C189" s="94"/>
      <c r="D189" s="94"/>
      <c r="E189" s="94"/>
      <c r="F189" s="94"/>
      <c r="G189" s="94"/>
      <c r="H189" s="94"/>
      <c r="I189" s="94"/>
      <c r="J189" s="94"/>
      <c r="K189" s="92"/>
      <c r="U189" s="92"/>
      <c r="V189" s="92"/>
      <c r="W189" s="92"/>
    </row>
    <row r="190" spans="1:23">
      <c r="A190" s="93"/>
      <c r="B190" s="93"/>
      <c r="C190" s="94"/>
      <c r="D190" s="94"/>
      <c r="E190" s="94"/>
      <c r="F190" s="94"/>
      <c r="G190" s="94"/>
      <c r="H190" s="94"/>
      <c r="I190" s="94"/>
      <c r="J190" s="94"/>
      <c r="K190" s="92"/>
      <c r="U190" s="92"/>
      <c r="V190" s="92"/>
      <c r="W190" s="92"/>
    </row>
    <row r="191" spans="1:23">
      <c r="A191" s="95" t="s">
        <v>143</v>
      </c>
      <c r="B191" s="95"/>
      <c r="C191" s="113"/>
      <c r="D191" s="113">
        <f t="shared" ref="D191:J191" si="54">SUM(D130:D188)</f>
        <v>80102219.15519999</v>
      </c>
      <c r="E191" s="113">
        <f t="shared" si="54"/>
        <v>95455679.208119988</v>
      </c>
      <c r="F191" s="113">
        <f t="shared" si="54"/>
        <v>111377135.17992604</v>
      </c>
      <c r="G191" s="113">
        <f t="shared" si="54"/>
        <v>128652097.55089234</v>
      </c>
      <c r="H191" s="113">
        <f t="shared" si="54"/>
        <v>147376113.32100549</v>
      </c>
      <c r="I191" s="113">
        <f t="shared" si="54"/>
        <v>167650900.42425269</v>
      </c>
      <c r="J191" s="113">
        <f t="shared" si="54"/>
        <v>189584725.95452213</v>
      </c>
      <c r="K191" s="92"/>
      <c r="U191" s="92"/>
      <c r="V191" s="92"/>
      <c r="W191" s="92"/>
    </row>
    <row r="192" spans="1:23">
      <c r="A192" s="93"/>
      <c r="B192" s="93"/>
      <c r="C192" s="94"/>
      <c r="D192" s="94"/>
      <c r="E192" s="94"/>
      <c r="F192" s="94"/>
      <c r="G192" s="94"/>
      <c r="H192" s="94"/>
      <c r="I192" s="94"/>
      <c r="J192" s="94"/>
      <c r="K192" s="92"/>
      <c r="U192" s="92"/>
      <c r="V192" s="92"/>
      <c r="W192" s="92"/>
    </row>
    <row r="193" spans="1:23">
      <c r="A193" s="93"/>
      <c r="B193" s="93"/>
      <c r="C193" s="94"/>
      <c r="D193" s="94"/>
      <c r="E193" s="94"/>
      <c r="F193" s="94"/>
      <c r="G193" s="94"/>
      <c r="H193" s="94"/>
      <c r="I193" s="94"/>
      <c r="J193" s="94"/>
      <c r="K193" s="92"/>
      <c r="U193" s="92"/>
      <c r="V193" s="92"/>
      <c r="W193" s="92"/>
    </row>
    <row r="194" spans="1:23">
      <c r="A194" s="95" t="s">
        <v>142</v>
      </c>
      <c r="B194" s="95"/>
      <c r="C194" s="94"/>
      <c r="D194" s="94"/>
      <c r="E194" s="94"/>
      <c r="F194" s="94"/>
      <c r="G194" s="94"/>
      <c r="H194" s="94"/>
      <c r="I194" s="94"/>
      <c r="J194" s="94"/>
      <c r="K194" s="92"/>
      <c r="U194" s="92"/>
      <c r="V194" s="92"/>
      <c r="W194" s="92"/>
    </row>
    <row r="195" spans="1:23">
      <c r="A195" s="95" t="str">
        <f>A128</f>
        <v>Seeds (Rate/KG)</v>
      </c>
      <c r="B195" s="95"/>
      <c r="C195" s="94"/>
      <c r="D195" s="94"/>
      <c r="E195" s="94"/>
      <c r="F195" s="94"/>
      <c r="G195" s="94"/>
      <c r="H195" s="94"/>
      <c r="I195" s="94"/>
      <c r="J195" s="94"/>
      <c r="K195" s="92"/>
      <c r="U195" s="92"/>
      <c r="V195" s="92"/>
      <c r="W195" s="92"/>
    </row>
    <row r="196" spans="1:23">
      <c r="A196" s="92" t="s">
        <v>313</v>
      </c>
      <c r="B196" s="92"/>
      <c r="C196" s="92"/>
      <c r="D196" s="92"/>
      <c r="E196" s="92"/>
      <c r="F196" s="92"/>
      <c r="G196" s="92"/>
      <c r="H196" s="92"/>
      <c r="I196" s="92"/>
      <c r="J196" s="92"/>
      <c r="K196" s="92"/>
      <c r="U196" s="92"/>
      <c r="V196" s="92"/>
      <c r="W196" s="92"/>
    </row>
    <row r="197" spans="1:23">
      <c r="A197" s="93" t="str">
        <f t="shared" ref="A197:A238" si="55">A130</f>
        <v>Soybean</v>
      </c>
      <c r="B197" s="92"/>
      <c r="C197" s="254">
        <f>C130-5</f>
        <v>95</v>
      </c>
      <c r="D197" s="94">
        <f t="shared" ref="D197:J206" si="56">C62*$C197*D$124</f>
        <v>1324224</v>
      </c>
      <c r="E197" s="94">
        <f t="shared" si="56"/>
        <v>1564239.6</v>
      </c>
      <c r="F197" s="94">
        <f t="shared" si="56"/>
        <v>1824946.2000000004</v>
      </c>
      <c r="G197" s="94">
        <f t="shared" si="56"/>
        <v>2107812.8610000005</v>
      </c>
      <c r="H197" s="94">
        <f t="shared" si="56"/>
        <v>2414403.8226000005</v>
      </c>
      <c r="I197" s="94">
        <f t="shared" si="56"/>
        <v>2746384.3482075012</v>
      </c>
      <c r="J197" s="94">
        <f t="shared" si="56"/>
        <v>3105526.9168192521</v>
      </c>
      <c r="K197" s="92"/>
      <c r="U197" s="92"/>
      <c r="V197" s="92"/>
      <c r="W197" s="92"/>
    </row>
    <row r="198" spans="1:23">
      <c r="A198" s="93" t="str">
        <f t="shared" si="55"/>
        <v>Red Gram/Tur</v>
      </c>
      <c r="B198" s="93"/>
      <c r="C198" s="254">
        <f t="shared" ref="C198:C210" si="57">C131-5</f>
        <v>95</v>
      </c>
      <c r="D198" s="94">
        <f t="shared" si="56"/>
        <v>25080</v>
      </c>
      <c r="E198" s="94">
        <f t="shared" si="56"/>
        <v>29625.75</v>
      </c>
      <c r="F198" s="94">
        <f t="shared" si="56"/>
        <v>34563.375</v>
      </c>
      <c r="G198" s="94">
        <f t="shared" si="56"/>
        <v>39920.69812500001</v>
      </c>
      <c r="H198" s="94">
        <f t="shared" si="56"/>
        <v>45727.345125000014</v>
      </c>
      <c r="I198" s="94">
        <f t="shared" si="56"/>
        <v>52014.855079687521</v>
      </c>
      <c r="J198" s="94">
        <f t="shared" si="56"/>
        <v>58816.797667031278</v>
      </c>
      <c r="K198" s="92"/>
      <c r="U198" s="92"/>
      <c r="V198" s="92"/>
      <c r="W198" s="92"/>
    </row>
    <row r="199" spans="1:23">
      <c r="A199" s="93" t="str">
        <f t="shared" si="55"/>
        <v>Paddy/Rice</v>
      </c>
      <c r="B199" s="93"/>
      <c r="C199" s="254">
        <f t="shared" si="57"/>
        <v>60</v>
      </c>
      <c r="D199" s="94">
        <f t="shared" si="56"/>
        <v>0</v>
      </c>
      <c r="E199" s="94">
        <f t="shared" si="56"/>
        <v>0</v>
      </c>
      <c r="F199" s="94">
        <f t="shared" si="56"/>
        <v>0</v>
      </c>
      <c r="G199" s="94">
        <f t="shared" si="56"/>
        <v>0</v>
      </c>
      <c r="H199" s="94">
        <f t="shared" si="56"/>
        <v>0</v>
      </c>
      <c r="I199" s="94">
        <f t="shared" si="56"/>
        <v>0</v>
      </c>
      <c r="J199" s="94">
        <f t="shared" si="56"/>
        <v>0</v>
      </c>
      <c r="K199" s="92"/>
      <c r="U199" s="92"/>
      <c r="V199" s="92"/>
      <c r="W199" s="92"/>
    </row>
    <row r="200" spans="1:23">
      <c r="A200" s="93" t="str">
        <f t="shared" si="55"/>
        <v>Green Gram/ Moong</v>
      </c>
      <c r="B200" s="93"/>
      <c r="C200" s="254">
        <f t="shared" si="57"/>
        <v>80</v>
      </c>
      <c r="D200" s="94">
        <f t="shared" si="56"/>
        <v>3168.0000000000009</v>
      </c>
      <c r="E200" s="94">
        <f t="shared" si="56"/>
        <v>3742.2000000000012</v>
      </c>
      <c r="F200" s="94">
        <f t="shared" si="56"/>
        <v>4365.9000000000015</v>
      </c>
      <c r="G200" s="94">
        <f t="shared" si="56"/>
        <v>5042.6145000000024</v>
      </c>
      <c r="H200" s="94">
        <f t="shared" si="56"/>
        <v>5776.0857000000033</v>
      </c>
      <c r="I200" s="94">
        <f t="shared" si="56"/>
        <v>6570.2974837500042</v>
      </c>
      <c r="J200" s="94">
        <f t="shared" si="56"/>
        <v>7429.4902316250045</v>
      </c>
      <c r="K200" s="92"/>
      <c r="L200" s="92"/>
      <c r="M200" s="92"/>
      <c r="N200" s="92"/>
      <c r="O200" s="92"/>
      <c r="P200" s="92"/>
      <c r="Q200" s="92"/>
      <c r="R200" s="92"/>
      <c r="S200" s="92"/>
      <c r="T200" s="92"/>
      <c r="U200" s="92"/>
      <c r="V200" s="92"/>
      <c r="W200" s="92"/>
    </row>
    <row r="201" spans="1:23">
      <c r="A201" s="93" t="str">
        <f t="shared" si="55"/>
        <v>Maize</v>
      </c>
      <c r="B201" s="93"/>
      <c r="C201" s="254">
        <f t="shared" si="57"/>
        <v>32</v>
      </c>
      <c r="D201" s="94">
        <f t="shared" si="56"/>
        <v>0</v>
      </c>
      <c r="E201" s="94">
        <f t="shared" si="56"/>
        <v>0</v>
      </c>
      <c r="F201" s="94">
        <f t="shared" si="56"/>
        <v>0</v>
      </c>
      <c r="G201" s="94">
        <f t="shared" si="56"/>
        <v>0</v>
      </c>
      <c r="H201" s="94">
        <f t="shared" si="56"/>
        <v>0</v>
      </c>
      <c r="I201" s="94">
        <f t="shared" si="56"/>
        <v>0</v>
      </c>
      <c r="J201" s="94">
        <f t="shared" si="56"/>
        <v>0</v>
      </c>
      <c r="K201" s="92"/>
      <c r="L201" s="92"/>
      <c r="M201" s="92"/>
      <c r="N201" s="92"/>
      <c r="O201" s="92"/>
      <c r="P201" s="92"/>
      <c r="Q201" s="92"/>
      <c r="R201" s="92"/>
      <c r="S201" s="92"/>
      <c r="T201" s="92"/>
      <c r="U201" s="92"/>
      <c r="V201" s="92"/>
      <c r="W201" s="92"/>
    </row>
    <row r="202" spans="1:23">
      <c r="A202" s="93" t="str">
        <f t="shared" si="55"/>
        <v>Black Gram/Udid</v>
      </c>
      <c r="B202" s="93"/>
      <c r="C202" s="254">
        <f t="shared" si="57"/>
        <v>70</v>
      </c>
      <c r="D202" s="94">
        <f t="shared" si="56"/>
        <v>0</v>
      </c>
      <c r="E202" s="94">
        <f t="shared" si="56"/>
        <v>0</v>
      </c>
      <c r="F202" s="94">
        <f t="shared" si="56"/>
        <v>0</v>
      </c>
      <c r="G202" s="94">
        <f t="shared" si="56"/>
        <v>0</v>
      </c>
      <c r="H202" s="94">
        <f t="shared" si="56"/>
        <v>0</v>
      </c>
      <c r="I202" s="94">
        <f t="shared" si="56"/>
        <v>0</v>
      </c>
      <c r="J202" s="94">
        <f t="shared" si="56"/>
        <v>0</v>
      </c>
      <c r="K202" s="92"/>
      <c r="L202" s="92"/>
      <c r="M202" s="92"/>
      <c r="N202" s="92"/>
      <c r="O202" s="92"/>
      <c r="P202" s="92"/>
      <c r="Q202" s="92"/>
      <c r="R202" s="92"/>
      <c r="S202" s="92"/>
      <c r="T202" s="92"/>
      <c r="U202" s="92"/>
      <c r="V202" s="92"/>
      <c r="W202" s="92"/>
    </row>
    <row r="203" spans="1:23">
      <c r="A203" s="93" t="str">
        <f t="shared" si="55"/>
        <v>Bajra</v>
      </c>
      <c r="B203" s="93"/>
      <c r="C203" s="254">
        <f t="shared" si="57"/>
        <v>25</v>
      </c>
      <c r="D203" s="94">
        <f t="shared" si="56"/>
        <v>0</v>
      </c>
      <c r="E203" s="94">
        <f t="shared" si="56"/>
        <v>0</v>
      </c>
      <c r="F203" s="94">
        <f t="shared" si="56"/>
        <v>0</v>
      </c>
      <c r="G203" s="94">
        <f t="shared" si="56"/>
        <v>0</v>
      </c>
      <c r="H203" s="94">
        <f t="shared" si="56"/>
        <v>0</v>
      </c>
      <c r="I203" s="94">
        <f t="shared" si="56"/>
        <v>0</v>
      </c>
      <c r="J203" s="94">
        <f t="shared" si="56"/>
        <v>0</v>
      </c>
      <c r="K203" s="92"/>
      <c r="L203" s="92"/>
      <c r="M203" s="92"/>
      <c r="N203" s="92"/>
      <c r="O203" s="92"/>
      <c r="P203" s="92"/>
      <c r="Q203" s="92"/>
      <c r="R203" s="92"/>
      <c r="S203" s="92"/>
      <c r="T203" s="92"/>
      <c r="U203" s="92"/>
      <c r="V203" s="92"/>
      <c r="W203" s="92"/>
    </row>
    <row r="204" spans="1:23">
      <c r="A204" s="93" t="str">
        <f t="shared" si="55"/>
        <v>Jawar</v>
      </c>
      <c r="B204" s="93"/>
      <c r="C204" s="254">
        <f t="shared" si="57"/>
        <v>25</v>
      </c>
      <c r="D204" s="94">
        <f t="shared" si="56"/>
        <v>330.00000000000006</v>
      </c>
      <c r="E204" s="94">
        <f t="shared" si="56"/>
        <v>389.81250000000006</v>
      </c>
      <c r="F204" s="94">
        <f t="shared" si="56"/>
        <v>454.78125000000011</v>
      </c>
      <c r="G204" s="94">
        <f t="shared" si="56"/>
        <v>525.27234375000023</v>
      </c>
      <c r="H204" s="94">
        <f t="shared" si="56"/>
        <v>601.6755937500003</v>
      </c>
      <c r="I204" s="94">
        <f t="shared" si="56"/>
        <v>684.40598789062551</v>
      </c>
      <c r="J204" s="94">
        <f t="shared" si="56"/>
        <v>773.90523246093801</v>
      </c>
      <c r="K204" s="92"/>
      <c r="L204" s="92"/>
      <c r="M204" s="92"/>
      <c r="N204" s="92"/>
      <c r="O204" s="92"/>
      <c r="P204" s="92"/>
      <c r="Q204" s="92"/>
      <c r="R204" s="92"/>
      <c r="S204" s="92"/>
      <c r="T204" s="92"/>
      <c r="U204" s="92"/>
      <c r="V204" s="92"/>
      <c r="W204" s="92"/>
    </row>
    <row r="205" spans="1:23">
      <c r="A205" s="95" t="str">
        <f t="shared" si="55"/>
        <v>Rabi Crop</v>
      </c>
      <c r="B205" s="93"/>
      <c r="C205" s="254"/>
      <c r="D205" s="94">
        <f t="shared" si="56"/>
        <v>0</v>
      </c>
      <c r="E205" s="94">
        <f t="shared" si="56"/>
        <v>0</v>
      </c>
      <c r="F205" s="94">
        <f t="shared" si="56"/>
        <v>0</v>
      </c>
      <c r="G205" s="94">
        <f t="shared" si="56"/>
        <v>0</v>
      </c>
      <c r="H205" s="94">
        <f t="shared" si="56"/>
        <v>0</v>
      </c>
      <c r="I205" s="94">
        <f t="shared" si="56"/>
        <v>0</v>
      </c>
      <c r="J205" s="94">
        <f t="shared" si="56"/>
        <v>0</v>
      </c>
      <c r="K205" s="92"/>
      <c r="L205" s="92"/>
      <c r="M205" s="92"/>
      <c r="N205" s="92"/>
      <c r="O205" s="92"/>
      <c r="P205" s="92"/>
      <c r="Q205" s="92"/>
      <c r="R205" s="92"/>
      <c r="S205" s="92"/>
      <c r="T205" s="92"/>
      <c r="U205" s="92"/>
      <c r="V205" s="92"/>
      <c r="W205" s="92"/>
    </row>
    <row r="206" spans="1:23">
      <c r="A206" s="93" t="str">
        <f t="shared" si="55"/>
        <v>Wheat</v>
      </c>
      <c r="B206" s="93"/>
      <c r="C206" s="254">
        <f t="shared" si="57"/>
        <v>35</v>
      </c>
      <c r="D206" s="94">
        <f t="shared" si="56"/>
        <v>4435.2</v>
      </c>
      <c r="E206" s="94">
        <f t="shared" si="56"/>
        <v>5239.0800000000008</v>
      </c>
      <c r="F206" s="94">
        <f t="shared" si="56"/>
        <v>6112.26</v>
      </c>
      <c r="G206" s="94">
        <f t="shared" si="56"/>
        <v>7059.6603000000014</v>
      </c>
      <c r="H206" s="94">
        <f t="shared" si="56"/>
        <v>8086.5199800000009</v>
      </c>
      <c r="I206" s="94">
        <f t="shared" si="56"/>
        <v>9198.4164772500026</v>
      </c>
      <c r="J206" s="94">
        <f t="shared" si="56"/>
        <v>10401.286324275005</v>
      </c>
      <c r="K206" s="92"/>
      <c r="L206" s="92"/>
      <c r="M206" s="92"/>
      <c r="N206" s="92"/>
      <c r="O206" s="92"/>
      <c r="P206" s="92"/>
      <c r="Q206" s="92"/>
      <c r="R206" s="92"/>
      <c r="S206" s="92"/>
      <c r="T206" s="92"/>
      <c r="U206" s="92"/>
      <c r="V206" s="92"/>
      <c r="W206" s="92"/>
    </row>
    <row r="207" spans="1:23">
      <c r="A207" s="93" t="str">
        <f t="shared" si="55"/>
        <v>Bengal Gram/Channa</v>
      </c>
      <c r="B207" s="93"/>
      <c r="C207" s="254">
        <f t="shared" si="57"/>
        <v>70</v>
      </c>
      <c r="D207" s="94">
        <f t="shared" ref="D207:J216" si="58">C72*$C207*D$124</f>
        <v>266112</v>
      </c>
      <c r="E207" s="94">
        <f t="shared" si="58"/>
        <v>314344.8</v>
      </c>
      <c r="F207" s="94">
        <f t="shared" si="58"/>
        <v>366735.60000000003</v>
      </c>
      <c r="G207" s="94">
        <f t="shared" si="58"/>
        <v>423579.61800000013</v>
      </c>
      <c r="H207" s="94">
        <f t="shared" si="58"/>
        <v>485191.19880000025</v>
      </c>
      <c r="I207" s="94">
        <f t="shared" si="58"/>
        <v>551904.98863500031</v>
      </c>
      <c r="J207" s="94">
        <f t="shared" si="58"/>
        <v>624077.17945650034</v>
      </c>
      <c r="K207" s="92"/>
      <c r="L207" s="92"/>
      <c r="M207" s="92"/>
      <c r="N207" s="92"/>
      <c r="O207" s="92"/>
      <c r="P207" s="92"/>
      <c r="Q207" s="92"/>
      <c r="R207" s="92"/>
      <c r="S207" s="92"/>
      <c r="T207" s="92"/>
      <c r="U207" s="92"/>
      <c r="V207" s="92"/>
      <c r="W207" s="92"/>
    </row>
    <row r="208" spans="1:23">
      <c r="A208" s="93" t="str">
        <f t="shared" si="55"/>
        <v>Jawar</v>
      </c>
      <c r="B208" s="93"/>
      <c r="C208" s="254">
        <f t="shared" si="57"/>
        <v>22</v>
      </c>
      <c r="D208" s="94">
        <f t="shared" si="58"/>
        <v>1219.68</v>
      </c>
      <c r="E208" s="94">
        <f t="shared" si="58"/>
        <v>1440.7470000000003</v>
      </c>
      <c r="F208" s="94">
        <f t="shared" si="58"/>
        <v>1680.8715000000004</v>
      </c>
      <c r="G208" s="94">
        <f t="shared" si="58"/>
        <v>1941.4065825000007</v>
      </c>
      <c r="H208" s="94">
        <f t="shared" si="58"/>
        <v>2223.792994500001</v>
      </c>
      <c r="I208" s="94">
        <f t="shared" si="58"/>
        <v>2529.5645312437514</v>
      </c>
      <c r="J208" s="94">
        <f t="shared" si="58"/>
        <v>2860.3537391756272</v>
      </c>
      <c r="K208" s="92"/>
      <c r="L208" s="92"/>
      <c r="M208" s="92"/>
      <c r="N208" s="92"/>
      <c r="O208" s="92"/>
      <c r="P208" s="92"/>
      <c r="Q208" s="92"/>
      <c r="R208" s="92"/>
      <c r="S208" s="92"/>
      <c r="T208" s="92"/>
      <c r="U208" s="92"/>
      <c r="V208" s="92"/>
      <c r="W208" s="92"/>
    </row>
    <row r="209" spans="1:23">
      <c r="A209" s="93" t="str">
        <f t="shared" si="55"/>
        <v>Maize</v>
      </c>
      <c r="B209" s="93"/>
      <c r="C209" s="254">
        <f t="shared" si="57"/>
        <v>22</v>
      </c>
      <c r="D209" s="94">
        <f t="shared" si="58"/>
        <v>0</v>
      </c>
      <c r="E209" s="94">
        <f t="shared" si="58"/>
        <v>0</v>
      </c>
      <c r="F209" s="94">
        <f t="shared" si="58"/>
        <v>0</v>
      </c>
      <c r="G209" s="94">
        <f t="shared" si="58"/>
        <v>0</v>
      </c>
      <c r="H209" s="94">
        <f t="shared" si="58"/>
        <v>0</v>
      </c>
      <c r="I209" s="94">
        <f t="shared" si="58"/>
        <v>0</v>
      </c>
      <c r="J209" s="94">
        <f t="shared" si="58"/>
        <v>0</v>
      </c>
      <c r="K209" s="92"/>
      <c r="L209" s="92"/>
      <c r="M209" s="92"/>
      <c r="N209" s="92"/>
      <c r="O209" s="92"/>
      <c r="P209" s="92"/>
      <c r="Q209" s="92"/>
      <c r="R209" s="92"/>
      <c r="S209" s="92"/>
      <c r="T209" s="92"/>
      <c r="U209" s="92"/>
      <c r="V209" s="92"/>
      <c r="W209" s="92"/>
    </row>
    <row r="210" spans="1:23">
      <c r="A210" s="93" t="str">
        <f t="shared" si="55"/>
        <v>Safflower</v>
      </c>
      <c r="B210" s="93"/>
      <c r="C210" s="254">
        <f t="shared" si="57"/>
        <v>75</v>
      </c>
      <c r="D210" s="94">
        <f t="shared" si="58"/>
        <v>594</v>
      </c>
      <c r="E210" s="94">
        <f t="shared" si="58"/>
        <v>701.66250000000002</v>
      </c>
      <c r="F210" s="94">
        <f t="shared" si="58"/>
        <v>818.60625000000005</v>
      </c>
      <c r="G210" s="94">
        <f t="shared" si="58"/>
        <v>945.49021875000005</v>
      </c>
      <c r="H210" s="94">
        <f t="shared" si="58"/>
        <v>1083.0160687500002</v>
      </c>
      <c r="I210" s="94">
        <f t="shared" si="58"/>
        <v>1231.9307782031251</v>
      </c>
      <c r="J210" s="94">
        <f t="shared" si="58"/>
        <v>1393.0294184296879</v>
      </c>
      <c r="K210" s="92"/>
      <c r="L210" s="92"/>
      <c r="M210" s="92"/>
      <c r="N210" s="92"/>
      <c r="O210" s="92"/>
      <c r="P210" s="92"/>
      <c r="Q210" s="92"/>
      <c r="R210" s="92"/>
      <c r="S210" s="92"/>
      <c r="T210" s="92"/>
      <c r="U210" s="92"/>
      <c r="V210" s="92"/>
      <c r="W210" s="92"/>
    </row>
    <row r="211" spans="1:23">
      <c r="A211" s="93">
        <f t="shared" si="55"/>
        <v>0</v>
      </c>
      <c r="B211" s="93"/>
      <c r="C211" s="254"/>
      <c r="D211" s="94">
        <f t="shared" si="58"/>
        <v>0</v>
      </c>
      <c r="E211" s="94">
        <f t="shared" si="58"/>
        <v>0</v>
      </c>
      <c r="F211" s="94">
        <f t="shared" si="58"/>
        <v>0</v>
      </c>
      <c r="G211" s="94">
        <f t="shared" si="58"/>
        <v>0</v>
      </c>
      <c r="H211" s="94">
        <f t="shared" si="58"/>
        <v>0</v>
      </c>
      <c r="I211" s="94">
        <f t="shared" si="58"/>
        <v>0</v>
      </c>
      <c r="J211" s="94">
        <f t="shared" si="58"/>
        <v>0</v>
      </c>
      <c r="K211" s="92"/>
      <c r="L211" s="92"/>
      <c r="M211" s="92"/>
      <c r="N211" s="92"/>
      <c r="O211" s="92"/>
      <c r="P211" s="92"/>
      <c r="Q211" s="92"/>
      <c r="R211" s="92"/>
      <c r="S211" s="92"/>
      <c r="T211" s="92"/>
      <c r="U211" s="92"/>
      <c r="V211" s="92"/>
      <c r="W211" s="92"/>
    </row>
    <row r="212" spans="1:23">
      <c r="A212" s="93">
        <f t="shared" si="55"/>
        <v>0</v>
      </c>
      <c r="B212" s="93"/>
      <c r="C212" s="254"/>
      <c r="D212" s="94">
        <f t="shared" si="58"/>
        <v>0</v>
      </c>
      <c r="E212" s="94">
        <f t="shared" si="58"/>
        <v>0</v>
      </c>
      <c r="F212" s="94">
        <f t="shared" si="58"/>
        <v>0</v>
      </c>
      <c r="G212" s="94">
        <f t="shared" si="58"/>
        <v>0</v>
      </c>
      <c r="H212" s="94">
        <f t="shared" si="58"/>
        <v>0</v>
      </c>
      <c r="I212" s="94">
        <f t="shared" si="58"/>
        <v>0</v>
      </c>
      <c r="J212" s="94">
        <f t="shared" si="58"/>
        <v>0</v>
      </c>
      <c r="K212" s="92"/>
      <c r="L212" s="92"/>
      <c r="M212" s="92"/>
      <c r="N212" s="92"/>
      <c r="O212" s="92"/>
      <c r="P212" s="92"/>
      <c r="Q212" s="92"/>
      <c r="R212" s="92"/>
      <c r="S212" s="92"/>
      <c r="T212" s="92"/>
      <c r="U212" s="92"/>
      <c r="V212" s="92"/>
      <c r="W212" s="92"/>
    </row>
    <row r="213" spans="1:23">
      <c r="A213" s="93">
        <f t="shared" si="55"/>
        <v>0</v>
      </c>
      <c r="B213" s="93"/>
      <c r="C213" s="254"/>
      <c r="D213" s="94">
        <f t="shared" si="58"/>
        <v>0</v>
      </c>
      <c r="E213" s="94">
        <f t="shared" si="58"/>
        <v>0</v>
      </c>
      <c r="F213" s="94">
        <f t="shared" si="58"/>
        <v>0</v>
      </c>
      <c r="G213" s="94">
        <f t="shared" si="58"/>
        <v>0</v>
      </c>
      <c r="H213" s="94">
        <f t="shared" si="58"/>
        <v>0</v>
      </c>
      <c r="I213" s="94">
        <f t="shared" si="58"/>
        <v>0</v>
      </c>
      <c r="J213" s="94">
        <f t="shared" si="58"/>
        <v>0</v>
      </c>
      <c r="K213" s="92"/>
      <c r="L213" s="92"/>
      <c r="M213" s="92"/>
      <c r="N213" s="92"/>
      <c r="O213" s="92"/>
      <c r="P213" s="92"/>
      <c r="Q213" s="92"/>
      <c r="R213" s="92"/>
      <c r="S213" s="92"/>
      <c r="T213" s="92"/>
      <c r="U213" s="92"/>
      <c r="V213" s="92"/>
      <c r="W213" s="92"/>
    </row>
    <row r="214" spans="1:23">
      <c r="A214" s="93" t="str">
        <f t="shared" si="55"/>
        <v>Summer</v>
      </c>
      <c r="B214" s="93"/>
      <c r="C214" s="254"/>
      <c r="D214" s="94">
        <f t="shared" si="58"/>
        <v>0</v>
      </c>
      <c r="E214" s="94">
        <f t="shared" si="58"/>
        <v>0</v>
      </c>
      <c r="F214" s="94">
        <f t="shared" si="58"/>
        <v>0</v>
      </c>
      <c r="G214" s="94">
        <f t="shared" si="58"/>
        <v>0</v>
      </c>
      <c r="H214" s="94">
        <f t="shared" si="58"/>
        <v>0</v>
      </c>
      <c r="I214" s="94">
        <f t="shared" si="58"/>
        <v>0</v>
      </c>
      <c r="J214" s="94">
        <f t="shared" si="58"/>
        <v>0</v>
      </c>
      <c r="K214" s="92"/>
      <c r="L214" s="92"/>
      <c r="M214" s="92"/>
      <c r="N214" s="92"/>
      <c r="O214" s="92"/>
      <c r="P214" s="92"/>
      <c r="Q214" s="92"/>
      <c r="R214" s="92"/>
      <c r="S214" s="92"/>
      <c r="T214" s="92"/>
      <c r="U214" s="92"/>
      <c r="V214" s="92"/>
      <c r="W214" s="92"/>
    </row>
    <row r="215" spans="1:23">
      <c r="A215" s="93" t="str">
        <f t="shared" si="55"/>
        <v>Groundnut</v>
      </c>
      <c r="B215" s="93"/>
      <c r="C215" s="254"/>
      <c r="D215" s="94">
        <f t="shared" si="58"/>
        <v>0</v>
      </c>
      <c r="E215" s="94">
        <f t="shared" si="58"/>
        <v>0</v>
      </c>
      <c r="F215" s="94">
        <f t="shared" si="58"/>
        <v>0</v>
      </c>
      <c r="G215" s="94">
        <f t="shared" si="58"/>
        <v>0</v>
      </c>
      <c r="H215" s="94">
        <f t="shared" si="58"/>
        <v>0</v>
      </c>
      <c r="I215" s="94">
        <f t="shared" si="58"/>
        <v>0</v>
      </c>
      <c r="J215" s="94">
        <f t="shared" si="58"/>
        <v>0</v>
      </c>
      <c r="K215" s="92"/>
      <c r="L215" s="92"/>
      <c r="M215" s="92"/>
      <c r="N215" s="92"/>
      <c r="O215" s="92"/>
      <c r="P215" s="92"/>
      <c r="Q215" s="92"/>
      <c r="R215" s="92"/>
      <c r="S215" s="92"/>
      <c r="T215" s="92"/>
      <c r="U215" s="92"/>
      <c r="V215" s="92"/>
      <c r="W215" s="92"/>
    </row>
    <row r="216" spans="1:23">
      <c r="A216" s="93">
        <f t="shared" si="55"/>
        <v>0</v>
      </c>
      <c r="B216" s="93"/>
      <c r="C216" s="254"/>
      <c r="D216" s="94">
        <f t="shared" si="58"/>
        <v>0</v>
      </c>
      <c r="E216" s="94">
        <f t="shared" si="58"/>
        <v>0</v>
      </c>
      <c r="F216" s="94">
        <f t="shared" si="58"/>
        <v>0</v>
      </c>
      <c r="G216" s="94">
        <f t="shared" si="58"/>
        <v>0</v>
      </c>
      <c r="H216" s="94">
        <f t="shared" si="58"/>
        <v>0</v>
      </c>
      <c r="I216" s="94">
        <f t="shared" si="58"/>
        <v>0</v>
      </c>
      <c r="J216" s="94">
        <f t="shared" si="58"/>
        <v>0</v>
      </c>
      <c r="K216" s="92"/>
      <c r="L216" s="92"/>
      <c r="M216" s="92"/>
      <c r="N216" s="92"/>
      <c r="O216" s="92"/>
      <c r="P216" s="92"/>
      <c r="Q216" s="92"/>
      <c r="R216" s="92"/>
      <c r="S216" s="92"/>
      <c r="T216" s="92"/>
      <c r="U216" s="92"/>
      <c r="V216" s="92"/>
      <c r="W216" s="92"/>
    </row>
    <row r="217" spans="1:23">
      <c r="A217" s="93">
        <f t="shared" si="55"/>
        <v>0</v>
      </c>
      <c r="B217" s="93"/>
      <c r="C217" s="254"/>
      <c r="D217" s="94">
        <f t="shared" ref="D217:J219" si="59">C82*$C217*D$124</f>
        <v>0</v>
      </c>
      <c r="E217" s="94">
        <f t="shared" si="59"/>
        <v>0</v>
      </c>
      <c r="F217" s="94">
        <f t="shared" si="59"/>
        <v>0</v>
      </c>
      <c r="G217" s="94">
        <f t="shared" si="59"/>
        <v>0</v>
      </c>
      <c r="H217" s="94">
        <f t="shared" si="59"/>
        <v>0</v>
      </c>
      <c r="I217" s="94">
        <f t="shared" si="59"/>
        <v>0</v>
      </c>
      <c r="J217" s="94">
        <f t="shared" si="59"/>
        <v>0</v>
      </c>
      <c r="K217" s="92"/>
      <c r="L217" s="92"/>
      <c r="M217" s="92"/>
      <c r="N217" s="92"/>
      <c r="O217" s="92"/>
      <c r="P217" s="92"/>
      <c r="Q217" s="92"/>
      <c r="R217" s="92"/>
      <c r="S217" s="92"/>
      <c r="T217" s="92"/>
      <c r="U217" s="92"/>
      <c r="V217" s="92"/>
      <c r="W217" s="92"/>
    </row>
    <row r="218" spans="1:23">
      <c r="A218" s="93">
        <f t="shared" si="55"/>
        <v>0</v>
      </c>
      <c r="B218" s="93"/>
      <c r="C218" s="254"/>
      <c r="D218" s="94">
        <f t="shared" si="59"/>
        <v>0</v>
      </c>
      <c r="E218" s="94">
        <f t="shared" si="59"/>
        <v>0</v>
      </c>
      <c r="F218" s="94">
        <f t="shared" si="59"/>
        <v>0</v>
      </c>
      <c r="G218" s="94">
        <f t="shared" si="59"/>
        <v>0</v>
      </c>
      <c r="H218" s="94">
        <f t="shared" si="59"/>
        <v>0</v>
      </c>
      <c r="I218" s="94">
        <f t="shared" si="59"/>
        <v>0</v>
      </c>
      <c r="J218" s="94">
        <f t="shared" si="59"/>
        <v>0</v>
      </c>
      <c r="K218" s="92"/>
      <c r="L218" s="92"/>
      <c r="M218" s="92"/>
      <c r="N218" s="92"/>
      <c r="O218" s="92"/>
      <c r="P218" s="92"/>
      <c r="Q218" s="92"/>
      <c r="R218" s="92"/>
      <c r="S218" s="92"/>
      <c r="T218" s="92"/>
      <c r="U218" s="92"/>
      <c r="V218" s="92"/>
      <c r="W218" s="92"/>
    </row>
    <row r="219" spans="1:23">
      <c r="A219" s="93">
        <f t="shared" si="55"/>
        <v>0</v>
      </c>
      <c r="B219" s="93"/>
      <c r="C219" s="254"/>
      <c r="D219" s="94">
        <f t="shared" si="59"/>
        <v>0</v>
      </c>
      <c r="E219" s="94">
        <f t="shared" si="59"/>
        <v>0</v>
      </c>
      <c r="F219" s="94">
        <f t="shared" si="59"/>
        <v>0</v>
      </c>
      <c r="G219" s="94">
        <f t="shared" si="59"/>
        <v>0</v>
      </c>
      <c r="H219" s="94">
        <f t="shared" si="59"/>
        <v>0</v>
      </c>
      <c r="I219" s="94">
        <f t="shared" si="59"/>
        <v>0</v>
      </c>
      <c r="J219" s="94">
        <f t="shared" si="59"/>
        <v>0</v>
      </c>
      <c r="K219" s="92"/>
      <c r="L219" s="92"/>
      <c r="M219" s="92"/>
      <c r="N219" s="92"/>
      <c r="O219" s="92"/>
      <c r="P219" s="92"/>
      <c r="Q219" s="92"/>
      <c r="R219" s="92"/>
      <c r="S219" s="92"/>
      <c r="T219" s="92"/>
      <c r="U219" s="92"/>
      <c r="V219" s="92"/>
      <c r="W219" s="92"/>
    </row>
    <row r="220" spans="1:23">
      <c r="A220" s="93" t="str">
        <f t="shared" si="55"/>
        <v>Fruit  &amp; Vegetables Crop Production Details</v>
      </c>
      <c r="B220" s="93"/>
      <c r="C220" s="94"/>
      <c r="D220" s="94"/>
      <c r="E220" s="94"/>
      <c r="F220" s="94"/>
      <c r="G220" s="94"/>
      <c r="H220" s="94"/>
      <c r="I220" s="94"/>
      <c r="J220" s="94"/>
      <c r="K220" s="92"/>
      <c r="L220" s="92"/>
      <c r="M220" s="92"/>
      <c r="N220" s="92"/>
      <c r="O220" s="92"/>
      <c r="P220" s="92"/>
      <c r="Q220" s="92"/>
      <c r="R220" s="92"/>
      <c r="S220" s="92"/>
      <c r="T220" s="92"/>
      <c r="U220" s="92"/>
      <c r="V220" s="92"/>
      <c r="W220" s="92"/>
    </row>
    <row r="221" spans="1:23">
      <c r="A221" s="93" t="str">
        <f t="shared" si="55"/>
        <v>Onion</v>
      </c>
      <c r="B221" s="93"/>
      <c r="C221" s="254"/>
      <c r="D221" s="94">
        <f t="shared" ref="D221:J230" si="60">C86*$C221*D$124</f>
        <v>0</v>
      </c>
      <c r="E221" s="94">
        <f t="shared" si="60"/>
        <v>0</v>
      </c>
      <c r="F221" s="94">
        <f t="shared" si="60"/>
        <v>0</v>
      </c>
      <c r="G221" s="94">
        <f t="shared" si="60"/>
        <v>0</v>
      </c>
      <c r="H221" s="94">
        <f t="shared" si="60"/>
        <v>0</v>
      </c>
      <c r="I221" s="94">
        <f t="shared" si="60"/>
        <v>0</v>
      </c>
      <c r="J221" s="94">
        <f t="shared" si="60"/>
        <v>0</v>
      </c>
      <c r="K221" s="92"/>
      <c r="L221" s="92"/>
      <c r="M221" s="92"/>
      <c r="N221" s="92"/>
      <c r="O221" s="92"/>
      <c r="P221" s="92"/>
      <c r="Q221" s="92"/>
      <c r="R221" s="92"/>
      <c r="S221" s="92"/>
      <c r="T221" s="92"/>
      <c r="U221" s="92"/>
      <c r="V221" s="92"/>
      <c r="W221" s="92"/>
    </row>
    <row r="222" spans="1:23">
      <c r="A222" s="93" t="str">
        <f t="shared" si="55"/>
        <v>Tomato</v>
      </c>
      <c r="B222" s="93"/>
      <c r="C222" s="254"/>
      <c r="D222" s="94">
        <f t="shared" si="60"/>
        <v>0</v>
      </c>
      <c r="E222" s="94">
        <f t="shared" si="60"/>
        <v>0</v>
      </c>
      <c r="F222" s="94">
        <f t="shared" si="60"/>
        <v>0</v>
      </c>
      <c r="G222" s="94">
        <f t="shared" si="60"/>
        <v>0</v>
      </c>
      <c r="H222" s="94">
        <f t="shared" si="60"/>
        <v>0</v>
      </c>
      <c r="I222" s="94">
        <f t="shared" si="60"/>
        <v>0</v>
      </c>
      <c r="J222" s="94">
        <f t="shared" si="60"/>
        <v>0</v>
      </c>
      <c r="K222" s="92"/>
      <c r="L222" s="92"/>
      <c r="M222" s="92"/>
      <c r="N222" s="92"/>
      <c r="O222" s="92"/>
      <c r="P222" s="92"/>
      <c r="Q222" s="92"/>
      <c r="R222" s="92"/>
      <c r="S222" s="92"/>
      <c r="T222" s="92"/>
      <c r="U222" s="92"/>
      <c r="V222" s="92"/>
      <c r="W222" s="92"/>
    </row>
    <row r="223" spans="1:23">
      <c r="A223" s="93" t="str">
        <f t="shared" si="55"/>
        <v>Okra</v>
      </c>
      <c r="B223" s="93"/>
      <c r="C223" s="254"/>
      <c r="D223" s="94">
        <f t="shared" si="60"/>
        <v>0</v>
      </c>
      <c r="E223" s="94">
        <f t="shared" si="60"/>
        <v>0</v>
      </c>
      <c r="F223" s="94">
        <f t="shared" si="60"/>
        <v>0</v>
      </c>
      <c r="G223" s="94">
        <f t="shared" si="60"/>
        <v>0</v>
      </c>
      <c r="H223" s="94">
        <f t="shared" si="60"/>
        <v>0</v>
      </c>
      <c r="I223" s="94">
        <f t="shared" si="60"/>
        <v>0</v>
      </c>
      <c r="J223" s="94">
        <f t="shared" si="60"/>
        <v>0</v>
      </c>
      <c r="K223" s="92"/>
      <c r="L223" s="92"/>
      <c r="M223" s="92"/>
      <c r="N223" s="92"/>
      <c r="O223" s="92"/>
      <c r="P223" s="92"/>
      <c r="Q223" s="92"/>
      <c r="R223" s="92"/>
      <c r="S223" s="92"/>
      <c r="T223" s="92"/>
      <c r="U223" s="92"/>
      <c r="V223" s="92"/>
      <c r="W223" s="92"/>
    </row>
    <row r="224" spans="1:23">
      <c r="A224" s="93" t="str">
        <f t="shared" si="55"/>
        <v>Chilli</v>
      </c>
      <c r="B224" s="93"/>
      <c r="C224" s="254"/>
      <c r="D224" s="94">
        <f t="shared" si="60"/>
        <v>0</v>
      </c>
      <c r="E224" s="94">
        <f t="shared" si="60"/>
        <v>0</v>
      </c>
      <c r="F224" s="94">
        <f t="shared" si="60"/>
        <v>0</v>
      </c>
      <c r="G224" s="94">
        <f t="shared" si="60"/>
        <v>0</v>
      </c>
      <c r="H224" s="94">
        <f t="shared" si="60"/>
        <v>0</v>
      </c>
      <c r="I224" s="94">
        <f t="shared" si="60"/>
        <v>0</v>
      </c>
      <c r="J224" s="94">
        <f t="shared" si="60"/>
        <v>0</v>
      </c>
      <c r="K224" s="92"/>
      <c r="L224" s="92"/>
      <c r="M224" s="92"/>
      <c r="N224" s="92"/>
      <c r="O224" s="92"/>
      <c r="P224" s="92"/>
      <c r="Q224" s="92"/>
      <c r="R224" s="92"/>
      <c r="S224" s="92"/>
      <c r="T224" s="92"/>
      <c r="U224" s="92"/>
      <c r="V224" s="92"/>
      <c r="W224" s="92"/>
    </row>
    <row r="225" spans="1:23">
      <c r="A225" s="93" t="str">
        <f t="shared" si="55"/>
        <v>Potato</v>
      </c>
      <c r="B225" s="93"/>
      <c r="C225" s="254"/>
      <c r="D225" s="94">
        <f t="shared" si="60"/>
        <v>0</v>
      </c>
      <c r="E225" s="94">
        <f t="shared" si="60"/>
        <v>0</v>
      </c>
      <c r="F225" s="94">
        <f t="shared" si="60"/>
        <v>0</v>
      </c>
      <c r="G225" s="94">
        <f t="shared" si="60"/>
        <v>0</v>
      </c>
      <c r="H225" s="94">
        <f t="shared" si="60"/>
        <v>0</v>
      </c>
      <c r="I225" s="94">
        <f t="shared" si="60"/>
        <v>0</v>
      </c>
      <c r="J225" s="94">
        <f t="shared" si="60"/>
        <v>0</v>
      </c>
      <c r="K225" s="92"/>
      <c r="L225" s="92"/>
      <c r="M225" s="92"/>
      <c r="N225" s="92"/>
      <c r="O225" s="92"/>
      <c r="P225" s="92"/>
      <c r="Q225" s="92"/>
      <c r="R225" s="92"/>
      <c r="S225" s="92"/>
      <c r="T225" s="92"/>
      <c r="U225" s="92"/>
      <c r="V225" s="92"/>
      <c r="W225" s="92"/>
    </row>
    <row r="226" spans="1:23">
      <c r="A226" s="93">
        <f t="shared" si="55"/>
        <v>0</v>
      </c>
      <c r="B226" s="93"/>
      <c r="C226" s="254"/>
      <c r="D226" s="94">
        <f t="shared" si="60"/>
        <v>0</v>
      </c>
      <c r="E226" s="94">
        <f t="shared" si="60"/>
        <v>0</v>
      </c>
      <c r="F226" s="94">
        <f t="shared" si="60"/>
        <v>0</v>
      </c>
      <c r="G226" s="94">
        <f t="shared" si="60"/>
        <v>0</v>
      </c>
      <c r="H226" s="94">
        <f t="shared" si="60"/>
        <v>0</v>
      </c>
      <c r="I226" s="94">
        <f t="shared" si="60"/>
        <v>0</v>
      </c>
      <c r="J226" s="94">
        <f t="shared" si="60"/>
        <v>0</v>
      </c>
      <c r="K226" s="92"/>
      <c r="L226" s="92"/>
      <c r="M226" s="92"/>
      <c r="N226" s="92"/>
      <c r="O226" s="92"/>
      <c r="P226" s="92"/>
      <c r="Q226" s="92"/>
      <c r="R226" s="92"/>
      <c r="S226" s="92"/>
      <c r="T226" s="92"/>
      <c r="U226" s="92"/>
      <c r="V226" s="92"/>
      <c r="W226" s="92"/>
    </row>
    <row r="227" spans="1:23">
      <c r="A227" s="93">
        <f t="shared" si="55"/>
        <v>0</v>
      </c>
      <c r="B227" s="93"/>
      <c r="C227" s="254"/>
      <c r="D227" s="94">
        <f t="shared" si="60"/>
        <v>0</v>
      </c>
      <c r="E227" s="94">
        <f t="shared" si="60"/>
        <v>0</v>
      </c>
      <c r="F227" s="94">
        <f t="shared" si="60"/>
        <v>0</v>
      </c>
      <c r="G227" s="94">
        <f t="shared" si="60"/>
        <v>0</v>
      </c>
      <c r="H227" s="94">
        <f t="shared" si="60"/>
        <v>0</v>
      </c>
      <c r="I227" s="94">
        <f t="shared" si="60"/>
        <v>0</v>
      </c>
      <c r="J227" s="94">
        <f t="shared" si="60"/>
        <v>0</v>
      </c>
      <c r="K227" s="92"/>
      <c r="L227" s="92"/>
      <c r="M227" s="92"/>
      <c r="N227" s="92"/>
      <c r="O227" s="92"/>
      <c r="P227" s="92"/>
      <c r="Q227" s="92"/>
      <c r="R227" s="92"/>
      <c r="S227" s="92"/>
      <c r="T227" s="92"/>
      <c r="U227" s="92"/>
      <c r="V227" s="92"/>
      <c r="W227" s="92"/>
    </row>
    <row r="228" spans="1:23">
      <c r="A228" s="93">
        <f t="shared" si="55"/>
        <v>0</v>
      </c>
      <c r="B228" s="93"/>
      <c r="C228" s="254"/>
      <c r="D228" s="94">
        <f t="shared" si="60"/>
        <v>0</v>
      </c>
      <c r="E228" s="94">
        <f t="shared" si="60"/>
        <v>0</v>
      </c>
      <c r="F228" s="94">
        <f t="shared" si="60"/>
        <v>0</v>
      </c>
      <c r="G228" s="94">
        <f t="shared" si="60"/>
        <v>0</v>
      </c>
      <c r="H228" s="94">
        <f t="shared" si="60"/>
        <v>0</v>
      </c>
      <c r="I228" s="94">
        <f t="shared" si="60"/>
        <v>0</v>
      </c>
      <c r="J228" s="94">
        <f t="shared" si="60"/>
        <v>0</v>
      </c>
      <c r="K228" s="92"/>
      <c r="L228" s="92"/>
      <c r="M228" s="92"/>
      <c r="N228" s="92"/>
      <c r="O228" s="92"/>
      <c r="P228" s="92"/>
      <c r="Q228" s="92"/>
      <c r="R228" s="92"/>
      <c r="S228" s="92"/>
      <c r="T228" s="92"/>
      <c r="U228" s="92"/>
      <c r="V228" s="92"/>
      <c r="W228" s="92"/>
    </row>
    <row r="229" spans="1:23">
      <c r="A229" s="93">
        <f t="shared" si="55"/>
        <v>0</v>
      </c>
      <c r="B229" s="93"/>
      <c r="C229" s="254"/>
      <c r="D229" s="94">
        <f t="shared" si="60"/>
        <v>0</v>
      </c>
      <c r="E229" s="94">
        <f t="shared" si="60"/>
        <v>0</v>
      </c>
      <c r="F229" s="94">
        <f t="shared" si="60"/>
        <v>0</v>
      </c>
      <c r="G229" s="94">
        <f t="shared" si="60"/>
        <v>0</v>
      </c>
      <c r="H229" s="94">
        <f t="shared" si="60"/>
        <v>0</v>
      </c>
      <c r="I229" s="94">
        <f t="shared" si="60"/>
        <v>0</v>
      </c>
      <c r="J229" s="94">
        <f t="shared" si="60"/>
        <v>0</v>
      </c>
      <c r="K229" s="92"/>
      <c r="L229" s="92"/>
      <c r="M229" s="92"/>
      <c r="N229" s="92"/>
      <c r="O229" s="92"/>
      <c r="P229" s="92"/>
      <c r="Q229" s="92"/>
      <c r="R229" s="92"/>
      <c r="S229" s="92"/>
      <c r="T229" s="92"/>
      <c r="U229" s="92"/>
      <c r="V229" s="92"/>
      <c r="W229" s="92"/>
    </row>
    <row r="230" spans="1:23">
      <c r="A230" s="93" t="str">
        <f t="shared" si="55"/>
        <v>Onion</v>
      </c>
      <c r="B230" s="93"/>
      <c r="C230" s="254"/>
      <c r="D230" s="94">
        <f t="shared" si="60"/>
        <v>0</v>
      </c>
      <c r="E230" s="94">
        <f t="shared" si="60"/>
        <v>0</v>
      </c>
      <c r="F230" s="94">
        <f t="shared" si="60"/>
        <v>0</v>
      </c>
      <c r="G230" s="94">
        <f t="shared" si="60"/>
        <v>0</v>
      </c>
      <c r="H230" s="94">
        <f t="shared" si="60"/>
        <v>0</v>
      </c>
      <c r="I230" s="94">
        <f t="shared" si="60"/>
        <v>0</v>
      </c>
      <c r="J230" s="94">
        <f t="shared" si="60"/>
        <v>0</v>
      </c>
      <c r="K230" s="92"/>
      <c r="L230" s="92"/>
      <c r="M230" s="92"/>
      <c r="N230" s="92"/>
      <c r="O230" s="92"/>
      <c r="P230" s="92"/>
      <c r="Q230" s="92"/>
      <c r="R230" s="92"/>
      <c r="S230" s="92"/>
      <c r="T230" s="92"/>
      <c r="U230" s="92"/>
      <c r="V230" s="92"/>
      <c r="W230" s="92"/>
    </row>
    <row r="231" spans="1:23">
      <c r="A231" s="93" t="str">
        <f t="shared" si="55"/>
        <v>Tomato</v>
      </c>
      <c r="B231" s="93"/>
      <c r="C231" s="254"/>
      <c r="D231" s="94">
        <f t="shared" ref="D231:J238" si="61">C96*$C231*D$124</f>
        <v>0</v>
      </c>
      <c r="E231" s="94">
        <f t="shared" si="61"/>
        <v>0</v>
      </c>
      <c r="F231" s="94">
        <f t="shared" si="61"/>
        <v>0</v>
      </c>
      <c r="G231" s="94">
        <f t="shared" si="61"/>
        <v>0</v>
      </c>
      <c r="H231" s="94">
        <f t="shared" si="61"/>
        <v>0</v>
      </c>
      <c r="I231" s="94">
        <f t="shared" si="61"/>
        <v>0</v>
      </c>
      <c r="J231" s="94">
        <f t="shared" si="61"/>
        <v>0</v>
      </c>
      <c r="K231" s="92"/>
      <c r="L231" s="92"/>
      <c r="M231" s="92"/>
      <c r="N231" s="92"/>
      <c r="O231" s="92"/>
      <c r="P231" s="92"/>
      <c r="Q231" s="92"/>
      <c r="R231" s="92"/>
      <c r="S231" s="92"/>
      <c r="T231" s="92"/>
      <c r="U231" s="92"/>
      <c r="V231" s="92"/>
      <c r="W231" s="92"/>
    </row>
    <row r="232" spans="1:23">
      <c r="A232" s="93" t="str">
        <f t="shared" si="55"/>
        <v>Okra</v>
      </c>
      <c r="B232" s="93"/>
      <c r="C232" s="254"/>
      <c r="D232" s="94">
        <f t="shared" si="61"/>
        <v>0</v>
      </c>
      <c r="E232" s="94">
        <f t="shared" si="61"/>
        <v>0</v>
      </c>
      <c r="F232" s="94">
        <f t="shared" si="61"/>
        <v>0</v>
      </c>
      <c r="G232" s="94">
        <f t="shared" si="61"/>
        <v>0</v>
      </c>
      <c r="H232" s="94">
        <f t="shared" si="61"/>
        <v>0</v>
      </c>
      <c r="I232" s="94">
        <f t="shared" si="61"/>
        <v>0</v>
      </c>
      <c r="J232" s="94">
        <f t="shared" si="61"/>
        <v>0</v>
      </c>
      <c r="K232" s="92"/>
      <c r="L232" s="92"/>
      <c r="M232" s="92"/>
      <c r="N232" s="92"/>
      <c r="O232" s="92"/>
      <c r="P232" s="92"/>
      <c r="Q232" s="92"/>
      <c r="R232" s="92"/>
      <c r="S232" s="92"/>
      <c r="T232" s="92"/>
      <c r="U232" s="92"/>
      <c r="V232" s="92"/>
      <c r="W232" s="92"/>
    </row>
    <row r="233" spans="1:23">
      <c r="A233" s="93" t="str">
        <f t="shared" si="55"/>
        <v>Chilli</v>
      </c>
      <c r="B233" s="93"/>
      <c r="C233" s="254"/>
      <c r="D233" s="94">
        <f t="shared" si="61"/>
        <v>0</v>
      </c>
      <c r="E233" s="94">
        <f t="shared" si="61"/>
        <v>0</v>
      </c>
      <c r="F233" s="94">
        <f t="shared" si="61"/>
        <v>0</v>
      </c>
      <c r="G233" s="94">
        <f t="shared" si="61"/>
        <v>0</v>
      </c>
      <c r="H233" s="94">
        <f t="shared" si="61"/>
        <v>0</v>
      </c>
      <c r="I233" s="94">
        <f t="shared" si="61"/>
        <v>0</v>
      </c>
      <c r="J233" s="94">
        <f t="shared" si="61"/>
        <v>0</v>
      </c>
      <c r="K233" s="92"/>
      <c r="L233" s="92"/>
      <c r="M233" s="92"/>
      <c r="N233" s="92"/>
      <c r="O233" s="92"/>
      <c r="P233" s="92"/>
      <c r="Q233" s="92"/>
      <c r="R233" s="92"/>
      <c r="S233" s="92"/>
      <c r="T233" s="92"/>
      <c r="U233" s="92"/>
      <c r="V233" s="92"/>
      <c r="W233" s="92"/>
    </row>
    <row r="234" spans="1:23">
      <c r="A234" s="93" t="str">
        <f t="shared" si="55"/>
        <v>Brinjal</v>
      </c>
      <c r="B234" s="93"/>
      <c r="C234" s="254"/>
      <c r="D234" s="94">
        <f t="shared" si="61"/>
        <v>0</v>
      </c>
      <c r="E234" s="94">
        <f t="shared" si="61"/>
        <v>0</v>
      </c>
      <c r="F234" s="94">
        <f t="shared" si="61"/>
        <v>0</v>
      </c>
      <c r="G234" s="94">
        <f t="shared" si="61"/>
        <v>0</v>
      </c>
      <c r="H234" s="94">
        <f t="shared" si="61"/>
        <v>0</v>
      </c>
      <c r="I234" s="94">
        <f t="shared" si="61"/>
        <v>0</v>
      </c>
      <c r="J234" s="94">
        <f t="shared" si="61"/>
        <v>0</v>
      </c>
      <c r="K234" s="92"/>
      <c r="L234" s="92"/>
      <c r="M234" s="92"/>
      <c r="N234" s="92"/>
      <c r="O234" s="92"/>
      <c r="P234" s="92"/>
      <c r="Q234" s="92"/>
      <c r="R234" s="92"/>
      <c r="S234" s="92"/>
      <c r="T234" s="92"/>
      <c r="U234" s="92"/>
      <c r="V234" s="92"/>
      <c r="W234" s="92"/>
    </row>
    <row r="235" spans="1:23">
      <c r="A235" s="93">
        <f t="shared" si="55"/>
        <v>0</v>
      </c>
      <c r="B235" s="93"/>
      <c r="C235" s="254"/>
      <c r="D235" s="94">
        <f t="shared" si="61"/>
        <v>0</v>
      </c>
      <c r="E235" s="94">
        <f t="shared" si="61"/>
        <v>0</v>
      </c>
      <c r="F235" s="94">
        <f t="shared" si="61"/>
        <v>0</v>
      </c>
      <c r="G235" s="94">
        <f t="shared" si="61"/>
        <v>0</v>
      </c>
      <c r="H235" s="94">
        <f t="shared" si="61"/>
        <v>0</v>
      </c>
      <c r="I235" s="94">
        <f t="shared" si="61"/>
        <v>0</v>
      </c>
      <c r="J235" s="94">
        <f t="shared" si="61"/>
        <v>0</v>
      </c>
      <c r="K235" s="92"/>
      <c r="L235" s="92"/>
      <c r="M235" s="92"/>
      <c r="N235" s="92"/>
      <c r="O235" s="92"/>
      <c r="P235" s="92"/>
      <c r="Q235" s="92"/>
      <c r="R235" s="92"/>
      <c r="S235" s="92"/>
      <c r="T235" s="92"/>
      <c r="U235" s="92"/>
      <c r="V235" s="92"/>
      <c r="W235" s="92"/>
    </row>
    <row r="236" spans="1:23">
      <c r="A236" s="93">
        <f t="shared" si="55"/>
        <v>0</v>
      </c>
      <c r="B236" s="93"/>
      <c r="C236" s="254"/>
      <c r="D236" s="94">
        <f t="shared" si="61"/>
        <v>0</v>
      </c>
      <c r="E236" s="94">
        <f t="shared" si="61"/>
        <v>0</v>
      </c>
      <c r="F236" s="94">
        <f t="shared" si="61"/>
        <v>0</v>
      </c>
      <c r="G236" s="94">
        <f t="shared" si="61"/>
        <v>0</v>
      </c>
      <c r="H236" s="94">
        <f t="shared" si="61"/>
        <v>0</v>
      </c>
      <c r="I236" s="94">
        <f t="shared" si="61"/>
        <v>0</v>
      </c>
      <c r="J236" s="94">
        <f t="shared" si="61"/>
        <v>0</v>
      </c>
      <c r="K236" s="92"/>
      <c r="L236" s="92"/>
      <c r="M236" s="92"/>
      <c r="N236" s="92"/>
      <c r="O236" s="92"/>
      <c r="P236" s="92"/>
      <c r="Q236" s="92"/>
      <c r="R236" s="92"/>
      <c r="S236" s="92"/>
      <c r="T236" s="92"/>
      <c r="U236" s="92"/>
      <c r="V236" s="92"/>
      <c r="W236" s="92"/>
    </row>
    <row r="237" spans="1:23">
      <c r="A237" s="93">
        <f t="shared" si="55"/>
        <v>0</v>
      </c>
      <c r="B237" s="93"/>
      <c r="C237" s="254"/>
      <c r="D237" s="94">
        <f t="shared" si="61"/>
        <v>0</v>
      </c>
      <c r="E237" s="94">
        <f t="shared" si="61"/>
        <v>0</v>
      </c>
      <c r="F237" s="94">
        <f t="shared" si="61"/>
        <v>0</v>
      </c>
      <c r="G237" s="94">
        <f t="shared" si="61"/>
        <v>0</v>
      </c>
      <c r="H237" s="94">
        <f t="shared" si="61"/>
        <v>0</v>
      </c>
      <c r="I237" s="94">
        <f t="shared" si="61"/>
        <v>0</v>
      </c>
      <c r="J237" s="94">
        <f t="shared" si="61"/>
        <v>0</v>
      </c>
      <c r="K237" s="92"/>
      <c r="L237" s="92"/>
      <c r="M237" s="92"/>
      <c r="N237" s="92"/>
      <c r="O237" s="92"/>
      <c r="P237" s="92"/>
      <c r="Q237" s="92"/>
      <c r="R237" s="92"/>
      <c r="S237" s="92"/>
      <c r="T237" s="92"/>
      <c r="U237" s="92"/>
      <c r="V237" s="92"/>
      <c r="W237" s="92"/>
    </row>
    <row r="238" spans="1:23">
      <c r="A238" s="93">
        <f t="shared" si="55"/>
        <v>0</v>
      </c>
      <c r="B238" s="93"/>
      <c r="C238" s="254"/>
      <c r="D238" s="94">
        <f t="shared" si="61"/>
        <v>0</v>
      </c>
      <c r="E238" s="94">
        <f t="shared" si="61"/>
        <v>0</v>
      </c>
      <c r="F238" s="94">
        <f t="shared" si="61"/>
        <v>0</v>
      </c>
      <c r="G238" s="94">
        <f t="shared" si="61"/>
        <v>0</v>
      </c>
      <c r="H238" s="94">
        <f t="shared" si="61"/>
        <v>0</v>
      </c>
      <c r="I238" s="94">
        <f t="shared" si="61"/>
        <v>0</v>
      </c>
      <c r="J238" s="94">
        <f t="shared" si="61"/>
        <v>0</v>
      </c>
      <c r="K238" s="92"/>
      <c r="L238" s="92"/>
      <c r="M238" s="92"/>
      <c r="N238" s="92"/>
      <c r="O238" s="92"/>
      <c r="P238" s="92"/>
      <c r="Q238" s="92"/>
      <c r="R238" s="92"/>
      <c r="S238" s="92"/>
      <c r="T238" s="92"/>
      <c r="U238" s="92"/>
      <c r="V238" s="92"/>
      <c r="W238" s="92"/>
    </row>
    <row r="239" spans="1:23">
      <c r="A239" s="93" t="str">
        <f>A175</f>
        <v>Pomegranate</v>
      </c>
      <c r="B239" s="93"/>
      <c r="C239" s="254"/>
      <c r="D239" s="94">
        <f t="shared" ref="D239:J243" si="62">C107*$C239*D$124</f>
        <v>0</v>
      </c>
      <c r="E239" s="94">
        <f t="shared" si="62"/>
        <v>0</v>
      </c>
      <c r="F239" s="94">
        <f t="shared" si="62"/>
        <v>0</v>
      </c>
      <c r="G239" s="94">
        <f t="shared" si="62"/>
        <v>0</v>
      </c>
      <c r="H239" s="94">
        <f t="shared" si="62"/>
        <v>0</v>
      </c>
      <c r="I239" s="94">
        <f t="shared" si="62"/>
        <v>0</v>
      </c>
      <c r="J239" s="94">
        <f t="shared" si="62"/>
        <v>0</v>
      </c>
      <c r="K239" s="92"/>
      <c r="L239" s="92"/>
      <c r="M239" s="92"/>
      <c r="N239" s="92"/>
      <c r="O239" s="92"/>
      <c r="P239" s="92"/>
      <c r="Q239" s="92"/>
      <c r="R239" s="92"/>
      <c r="S239" s="92"/>
      <c r="T239" s="92"/>
      <c r="U239" s="92"/>
      <c r="V239" s="92"/>
      <c r="W239" s="92"/>
    </row>
    <row r="240" spans="1:23">
      <c r="A240" s="93" t="str">
        <f>A176</f>
        <v>Custard Apple</v>
      </c>
      <c r="B240" s="93"/>
      <c r="C240" s="254"/>
      <c r="D240" s="94">
        <f t="shared" si="62"/>
        <v>0</v>
      </c>
      <c r="E240" s="94">
        <f t="shared" si="62"/>
        <v>0</v>
      </c>
      <c r="F240" s="94">
        <f t="shared" si="62"/>
        <v>0</v>
      </c>
      <c r="G240" s="94">
        <f t="shared" si="62"/>
        <v>0</v>
      </c>
      <c r="H240" s="94">
        <f t="shared" si="62"/>
        <v>0</v>
      </c>
      <c r="I240" s="94">
        <f t="shared" si="62"/>
        <v>0</v>
      </c>
      <c r="J240" s="94">
        <f t="shared" si="62"/>
        <v>0</v>
      </c>
      <c r="K240" s="92"/>
      <c r="L240" s="92"/>
      <c r="M240" s="92"/>
      <c r="N240" s="92"/>
      <c r="O240" s="92"/>
      <c r="P240" s="92"/>
      <c r="Q240" s="92"/>
      <c r="R240" s="92"/>
      <c r="S240" s="92"/>
      <c r="T240" s="92"/>
      <c r="U240" s="92"/>
      <c r="V240" s="92"/>
      <c r="W240" s="92"/>
    </row>
    <row r="241" spans="1:23">
      <c r="A241" s="93" t="str">
        <f>A177</f>
        <v>Guava</v>
      </c>
      <c r="B241" s="93"/>
      <c r="C241" s="254"/>
      <c r="D241" s="94">
        <f t="shared" si="62"/>
        <v>0</v>
      </c>
      <c r="E241" s="94">
        <f t="shared" si="62"/>
        <v>0</v>
      </c>
      <c r="F241" s="94">
        <f t="shared" si="62"/>
        <v>0</v>
      </c>
      <c r="G241" s="94">
        <f t="shared" si="62"/>
        <v>0</v>
      </c>
      <c r="H241" s="94">
        <f t="shared" si="62"/>
        <v>0</v>
      </c>
      <c r="I241" s="94">
        <f t="shared" si="62"/>
        <v>0</v>
      </c>
      <c r="J241" s="94">
        <f t="shared" si="62"/>
        <v>0</v>
      </c>
      <c r="K241" s="92"/>
      <c r="L241" s="92"/>
      <c r="M241" s="92"/>
      <c r="N241" s="92"/>
      <c r="O241" s="92"/>
      <c r="P241" s="92"/>
      <c r="Q241" s="92"/>
      <c r="R241" s="92"/>
      <c r="S241" s="92"/>
      <c r="T241" s="92"/>
      <c r="U241" s="92"/>
      <c r="V241" s="92"/>
      <c r="W241" s="92"/>
    </row>
    <row r="242" spans="1:23">
      <c r="A242" s="93" t="str">
        <f>A178</f>
        <v>Citrus</v>
      </c>
      <c r="B242" s="93"/>
      <c r="C242" s="254"/>
      <c r="D242" s="94">
        <f t="shared" si="62"/>
        <v>0</v>
      </c>
      <c r="E242" s="94">
        <f t="shared" si="62"/>
        <v>0</v>
      </c>
      <c r="F242" s="94">
        <f t="shared" si="62"/>
        <v>0</v>
      </c>
      <c r="G242" s="94">
        <f t="shared" si="62"/>
        <v>0</v>
      </c>
      <c r="H242" s="94">
        <f t="shared" si="62"/>
        <v>0</v>
      </c>
      <c r="I242" s="94">
        <f t="shared" si="62"/>
        <v>0</v>
      </c>
      <c r="J242" s="94">
        <f t="shared" si="62"/>
        <v>0</v>
      </c>
      <c r="K242" s="92"/>
      <c r="L242" s="92"/>
      <c r="M242" s="92"/>
      <c r="N242" s="92"/>
      <c r="O242" s="92"/>
      <c r="P242" s="92"/>
      <c r="Q242" s="92"/>
      <c r="R242" s="92"/>
      <c r="S242" s="92"/>
      <c r="T242" s="92"/>
      <c r="U242" s="92"/>
      <c r="V242" s="92"/>
      <c r="W242" s="92"/>
    </row>
    <row r="243" spans="1:23">
      <c r="A243" s="93">
        <f>A179</f>
        <v>0</v>
      </c>
      <c r="B243" s="93"/>
      <c r="C243" s="254"/>
      <c r="D243" s="94">
        <f t="shared" si="62"/>
        <v>0</v>
      </c>
      <c r="E243" s="94">
        <f t="shared" si="62"/>
        <v>0</v>
      </c>
      <c r="F243" s="94">
        <f t="shared" si="62"/>
        <v>0</v>
      </c>
      <c r="G243" s="94">
        <f t="shared" si="62"/>
        <v>0</v>
      </c>
      <c r="H243" s="94">
        <f t="shared" si="62"/>
        <v>0</v>
      </c>
      <c r="I243" s="94">
        <f t="shared" si="62"/>
        <v>0</v>
      </c>
      <c r="J243" s="94">
        <f t="shared" si="62"/>
        <v>0</v>
      </c>
      <c r="K243" s="92"/>
      <c r="L243" s="92"/>
      <c r="M243" s="92"/>
      <c r="N243" s="92"/>
      <c r="O243" s="92"/>
      <c r="P243" s="92"/>
      <c r="Q243" s="92"/>
      <c r="R243" s="92"/>
      <c r="S243" s="92"/>
      <c r="T243" s="92"/>
      <c r="U243" s="92"/>
      <c r="V243" s="92"/>
      <c r="W243" s="92"/>
    </row>
    <row r="244" spans="1:23">
      <c r="A244" s="93" t="str">
        <f>A181</f>
        <v>Fertilizer(Rate/KG)</v>
      </c>
      <c r="B244" s="93"/>
      <c r="C244" s="94"/>
      <c r="D244" s="94"/>
      <c r="E244" s="94"/>
      <c r="F244" s="94"/>
      <c r="G244" s="94"/>
      <c r="H244" s="94"/>
      <c r="I244" s="94"/>
      <c r="J244" s="94"/>
      <c r="K244" s="92"/>
      <c r="L244" s="92"/>
      <c r="M244" s="92"/>
      <c r="N244" s="92"/>
      <c r="O244" s="92"/>
      <c r="P244" s="92"/>
      <c r="Q244" s="92"/>
      <c r="R244" s="92"/>
      <c r="S244" s="92"/>
      <c r="T244" s="92"/>
      <c r="U244" s="92"/>
      <c r="V244" s="92"/>
      <c r="W244" s="92"/>
    </row>
    <row r="245" spans="1:23">
      <c r="A245" s="93" t="str">
        <f>A182</f>
        <v>SSP</v>
      </c>
      <c r="B245" s="93"/>
      <c r="C245" s="397">
        <v>6.9</v>
      </c>
      <c r="D245" s="94">
        <f t="shared" ref="D245:J245" si="63">C114*$C$245*D124</f>
        <v>12590899.199999999</v>
      </c>
      <c r="E245" s="94">
        <f t="shared" si="63"/>
        <v>14872999.680000002</v>
      </c>
      <c r="F245" s="94">
        <f t="shared" si="63"/>
        <v>17351832.960000005</v>
      </c>
      <c r="G245" s="94">
        <f t="shared" si="63"/>
        <v>20041367.06880001</v>
      </c>
      <c r="H245" s="94">
        <f t="shared" si="63"/>
        <v>22956475.006080013</v>
      </c>
      <c r="I245" s="94">
        <f t="shared" si="63"/>
        <v>26112990.319416013</v>
      </c>
      <c r="J245" s="94">
        <f t="shared" si="63"/>
        <v>29527765.97657042</v>
      </c>
      <c r="K245" s="92"/>
      <c r="L245" s="92"/>
      <c r="M245" s="92"/>
      <c r="N245" s="92"/>
      <c r="O245" s="92"/>
      <c r="P245" s="92"/>
      <c r="Q245" s="92"/>
      <c r="R245" s="92"/>
      <c r="S245" s="92"/>
      <c r="T245" s="92"/>
      <c r="U245" s="92"/>
      <c r="V245" s="92"/>
      <c r="W245" s="92"/>
    </row>
    <row r="246" spans="1:23">
      <c r="A246" s="93" t="str">
        <f>A183</f>
        <v>Urea</v>
      </c>
      <c r="B246" s="93"/>
      <c r="C246" s="398">
        <v>7.9</v>
      </c>
      <c r="D246" s="94">
        <f t="shared" ref="D246:J246" si="64">C115*$C$246*D124</f>
        <v>4324700.1599999992</v>
      </c>
      <c r="E246" s="94">
        <f t="shared" si="64"/>
        <v>5108552.0640000002</v>
      </c>
      <c r="F246" s="94">
        <f t="shared" si="64"/>
        <v>5959977.4080000026</v>
      </c>
      <c r="G246" s="94">
        <f t="shared" si="64"/>
        <v>6883773.9062400023</v>
      </c>
      <c r="H246" s="94">
        <f t="shared" si="64"/>
        <v>7885050.1107840044</v>
      </c>
      <c r="I246" s="94">
        <f t="shared" si="64"/>
        <v>8969244.5010168049</v>
      </c>
      <c r="J246" s="94">
        <f t="shared" si="64"/>
        <v>10142145.704995926</v>
      </c>
      <c r="K246" s="92"/>
      <c r="L246" s="92"/>
      <c r="M246" s="92"/>
      <c r="N246" s="92"/>
      <c r="O246" s="92"/>
      <c r="P246" s="92"/>
      <c r="Q246" s="92"/>
      <c r="R246" s="92"/>
      <c r="S246" s="92"/>
      <c r="T246" s="92"/>
      <c r="U246" s="92"/>
      <c r="V246" s="92"/>
      <c r="W246" s="92"/>
    </row>
    <row r="247" spans="1:23">
      <c r="A247" s="93" t="str">
        <f>A184</f>
        <v>DAP</v>
      </c>
      <c r="B247" s="93"/>
      <c r="C247" s="398">
        <v>29.5</v>
      </c>
      <c r="D247" s="94">
        <f t="shared" ref="D247:J247" si="65">C116*$C$247*D124</f>
        <v>16149196.799999997</v>
      </c>
      <c r="E247" s="94">
        <f t="shared" si="65"/>
        <v>19076238.719999999</v>
      </c>
      <c r="F247" s="94">
        <f t="shared" si="65"/>
        <v>22255611.840000007</v>
      </c>
      <c r="G247" s="94">
        <f t="shared" si="65"/>
        <v>25705231.675200008</v>
      </c>
      <c r="H247" s="94">
        <f t="shared" si="65"/>
        <v>29444174.464320015</v>
      </c>
      <c r="I247" s="94">
        <f t="shared" si="65"/>
        <v>33492748.453164015</v>
      </c>
      <c r="J247" s="94">
        <f t="shared" si="65"/>
        <v>37872569.404731624</v>
      </c>
      <c r="K247" s="92"/>
      <c r="L247" s="92"/>
      <c r="M247" s="92"/>
      <c r="N247" s="92"/>
      <c r="O247" s="92"/>
      <c r="P247" s="92"/>
      <c r="Q247" s="92"/>
      <c r="R247" s="92"/>
      <c r="S247" s="92"/>
      <c r="T247" s="92"/>
      <c r="U247" s="92"/>
      <c r="V247" s="92"/>
      <c r="W247" s="92"/>
    </row>
    <row r="248" spans="1:23">
      <c r="A248" s="93"/>
      <c r="B248" s="93"/>
      <c r="C248" s="94"/>
      <c r="D248" s="94"/>
      <c r="E248" s="94"/>
      <c r="F248" s="94"/>
      <c r="G248" s="94"/>
      <c r="H248" s="94"/>
      <c r="I248" s="94"/>
      <c r="J248" s="94"/>
      <c r="K248" s="92"/>
      <c r="L248" s="92"/>
      <c r="M248" s="92"/>
      <c r="N248" s="92"/>
      <c r="O248" s="92"/>
      <c r="P248" s="92"/>
      <c r="Q248" s="92"/>
      <c r="R248" s="92"/>
      <c r="S248" s="92"/>
      <c r="T248" s="92"/>
      <c r="U248" s="92"/>
      <c r="V248" s="92"/>
      <c r="W248" s="92"/>
    </row>
    <row r="249" spans="1:23">
      <c r="A249" s="93" t="str">
        <f>A186</f>
        <v>Pesticide</v>
      </c>
      <c r="B249" s="93"/>
      <c r="C249" s="94"/>
      <c r="D249" s="94"/>
      <c r="E249" s="94"/>
      <c r="F249" s="94"/>
      <c r="G249" s="94"/>
      <c r="H249" s="94"/>
      <c r="I249" s="94"/>
      <c r="J249" s="94"/>
      <c r="K249" s="92"/>
      <c r="L249" s="92"/>
      <c r="M249" s="92"/>
      <c r="N249" s="92"/>
      <c r="O249" s="92"/>
      <c r="P249" s="92"/>
      <c r="Q249" s="92"/>
      <c r="R249" s="92"/>
      <c r="S249" s="92"/>
      <c r="T249" s="92"/>
      <c r="U249" s="92"/>
      <c r="V249" s="92"/>
      <c r="W249" s="92"/>
    </row>
    <row r="250" spans="1:23">
      <c r="A250" s="93" t="str">
        <f>A187</f>
        <v>Dupont Coragen</v>
      </c>
      <c r="B250" s="93"/>
      <c r="C250" s="254">
        <v>4850</v>
      </c>
      <c r="D250" s="94">
        <f t="shared" ref="D250:J250" si="66">C118*$C$250*D124</f>
        <v>17700249.599999998</v>
      </c>
      <c r="E250" s="94">
        <f t="shared" si="66"/>
        <v>20908419.84</v>
      </c>
      <c r="F250" s="94">
        <f t="shared" si="66"/>
        <v>24393156.480000004</v>
      </c>
      <c r="G250" s="94">
        <f t="shared" si="66"/>
        <v>28174095.734400008</v>
      </c>
      <c r="H250" s="94">
        <f t="shared" si="66"/>
        <v>32272146.023040019</v>
      </c>
      <c r="I250" s="94">
        <f t="shared" si="66"/>
        <v>36709566.101208016</v>
      </c>
      <c r="J250" s="94">
        <f t="shared" si="66"/>
        <v>41510047.822135225</v>
      </c>
      <c r="K250" s="92"/>
      <c r="L250" s="92"/>
      <c r="M250" s="92"/>
      <c r="N250" s="92"/>
      <c r="O250" s="92"/>
      <c r="P250" s="92"/>
      <c r="Q250" s="92"/>
      <c r="R250" s="92"/>
      <c r="S250" s="92"/>
      <c r="T250" s="92"/>
      <c r="U250" s="92"/>
      <c r="V250" s="92"/>
      <c r="W250" s="92"/>
    </row>
    <row r="251" spans="1:23">
      <c r="A251" s="93" t="str">
        <f>A188</f>
        <v>Confidor Boyer</v>
      </c>
      <c r="B251" s="93"/>
      <c r="C251" s="254">
        <v>2900</v>
      </c>
      <c r="D251" s="94">
        <f t="shared" ref="D251:J251" si="67">C119*$C$251*D124</f>
        <v>26459135.999999996</v>
      </c>
      <c r="E251" s="94">
        <f t="shared" si="67"/>
        <v>31254854.400000002</v>
      </c>
      <c r="F251" s="94">
        <f t="shared" si="67"/>
        <v>36463996.800000012</v>
      </c>
      <c r="G251" s="94">
        <f t="shared" si="67"/>
        <v>42115916.304000013</v>
      </c>
      <c r="H251" s="94">
        <f t="shared" si="67"/>
        <v>48241867.766400024</v>
      </c>
      <c r="I251" s="94">
        <f t="shared" si="67"/>
        <v>54875124.584280021</v>
      </c>
      <c r="J251" s="94">
        <f t="shared" si="67"/>
        <v>62051102.414532036</v>
      </c>
      <c r="K251" s="92"/>
      <c r="L251" s="92"/>
      <c r="M251" s="92"/>
      <c r="N251" s="92"/>
      <c r="O251" s="92"/>
      <c r="P251" s="92"/>
      <c r="Q251" s="92"/>
      <c r="R251" s="92"/>
      <c r="S251" s="92"/>
      <c r="T251" s="92"/>
      <c r="U251" s="92"/>
      <c r="V251" s="92"/>
      <c r="W251" s="92"/>
    </row>
    <row r="252" spans="1:23">
      <c r="A252" s="93"/>
      <c r="B252" s="93"/>
      <c r="C252" s="94"/>
      <c r="D252" s="94"/>
      <c r="E252" s="94"/>
      <c r="F252" s="94"/>
      <c r="G252" s="94"/>
      <c r="H252" s="94"/>
      <c r="I252" s="94"/>
      <c r="J252" s="94"/>
      <c r="K252" s="92"/>
      <c r="L252" s="92"/>
      <c r="M252" s="92"/>
      <c r="N252" s="92"/>
      <c r="O252" s="92"/>
      <c r="P252" s="92"/>
      <c r="Q252" s="92"/>
      <c r="R252" s="92"/>
      <c r="S252" s="92"/>
      <c r="T252" s="92"/>
      <c r="U252" s="92"/>
      <c r="V252" s="92"/>
      <c r="W252" s="92"/>
    </row>
    <row r="253" spans="1:23">
      <c r="A253" s="93" t="s">
        <v>292</v>
      </c>
      <c r="B253" s="93"/>
      <c r="C253" s="254">
        <v>8</v>
      </c>
      <c r="D253" s="94">
        <f>(SUM(C62:C119)/50)*$C$253*D124</f>
        <v>472103.97695999988</v>
      </c>
      <c r="E253" s="94">
        <f t="shared" ref="E253:J253" si="68">(SUM(D62:D119)/50)*$C$253*E124</f>
        <v>557672.82278399996</v>
      </c>
      <c r="F253" s="94">
        <f t="shared" si="68"/>
        <v>650618.29324800009</v>
      </c>
      <c r="G253" s="94">
        <f t="shared" si="68"/>
        <v>751464.12870144029</v>
      </c>
      <c r="H253" s="94">
        <f t="shared" si="68"/>
        <v>860768.00196710438</v>
      </c>
      <c r="I253" s="94">
        <f t="shared" si="68"/>
        <v>979123.60223758139</v>
      </c>
      <c r="J253" s="94">
        <f t="shared" si="68"/>
        <v>1107162.8425301882</v>
      </c>
      <c r="K253" s="92"/>
      <c r="L253" s="92"/>
      <c r="M253" s="92"/>
      <c r="N253" s="92"/>
      <c r="O253" s="92"/>
      <c r="P253" s="92"/>
      <c r="Q253" s="92"/>
      <c r="R253" s="92"/>
      <c r="S253" s="92"/>
      <c r="T253" s="92"/>
      <c r="U253" s="92"/>
      <c r="V253" s="92"/>
      <c r="W253" s="92"/>
    </row>
    <row r="254" spans="1:23">
      <c r="A254" s="93" t="s">
        <v>173</v>
      </c>
      <c r="B254" s="93"/>
      <c r="C254" s="254">
        <v>20</v>
      </c>
      <c r="D254" s="94">
        <f>(SUM(C62:C119)/50)*$C$254*D124</f>
        <v>1180259.9423999996</v>
      </c>
      <c r="E254" s="94">
        <f t="shared" ref="E254:J254" si="69">(SUM(D62:D119)/50)*$C$254*E124</f>
        <v>1394182.05696</v>
      </c>
      <c r="F254" s="94">
        <f t="shared" si="69"/>
        <v>1626545.7331200002</v>
      </c>
      <c r="G254" s="94">
        <f t="shared" si="69"/>
        <v>1878660.3217536006</v>
      </c>
      <c r="H254" s="94">
        <f t="shared" si="69"/>
        <v>2151920.0049177613</v>
      </c>
      <c r="I254" s="94">
        <f t="shared" si="69"/>
        <v>2447809.0055939537</v>
      </c>
      <c r="J254" s="94">
        <f t="shared" si="69"/>
        <v>2767907.1063254704</v>
      </c>
      <c r="K254" s="92"/>
      <c r="L254" s="92"/>
      <c r="M254" s="92"/>
      <c r="N254" s="92"/>
      <c r="O254" s="92"/>
      <c r="P254" s="92"/>
      <c r="Q254" s="92"/>
      <c r="R254" s="92"/>
      <c r="S254" s="92"/>
      <c r="T254" s="92"/>
      <c r="U254" s="92"/>
      <c r="V254" s="92"/>
      <c r="W254" s="92"/>
    </row>
    <row r="255" spans="1:23">
      <c r="A255" s="93"/>
      <c r="B255" s="93"/>
      <c r="C255" s="254"/>
      <c r="D255" s="205"/>
      <c r="E255" s="94"/>
      <c r="F255" s="94"/>
      <c r="G255" s="94"/>
      <c r="H255" s="94"/>
      <c r="I255" s="94"/>
      <c r="J255" s="94"/>
      <c r="K255" s="92"/>
      <c r="L255" s="92"/>
      <c r="M255" s="92"/>
      <c r="N255" s="92"/>
      <c r="O255" s="92"/>
      <c r="P255" s="92"/>
      <c r="Q255" s="92"/>
      <c r="R255" s="92"/>
      <c r="S255" s="92"/>
      <c r="T255" s="92"/>
      <c r="U255" s="92"/>
      <c r="V255" s="92"/>
      <c r="W255" s="92"/>
    </row>
    <row r="256" spans="1:23">
      <c r="A256" s="93"/>
      <c r="B256" s="93"/>
      <c r="C256" s="254"/>
      <c r="D256" s="205"/>
      <c r="E256" s="94"/>
      <c r="F256" s="94"/>
      <c r="G256" s="94"/>
      <c r="H256" s="94"/>
      <c r="I256" s="94"/>
      <c r="J256" s="94"/>
      <c r="K256" s="92"/>
      <c r="L256" s="92"/>
      <c r="M256" s="92"/>
      <c r="N256" s="92"/>
      <c r="O256" s="92"/>
      <c r="P256" s="92"/>
      <c r="Q256" s="92"/>
      <c r="R256" s="92"/>
      <c r="S256" s="92"/>
      <c r="T256" s="92"/>
      <c r="U256" s="92"/>
      <c r="V256" s="92"/>
      <c r="W256" s="92"/>
    </row>
    <row r="257" spans="1:23">
      <c r="A257" s="93"/>
      <c r="B257" s="93"/>
      <c r="C257" s="254"/>
      <c r="D257" s="205"/>
      <c r="E257" s="94"/>
      <c r="F257" s="94"/>
      <c r="G257" s="94"/>
      <c r="H257" s="94"/>
      <c r="I257" s="94"/>
      <c r="J257" s="94"/>
      <c r="K257" s="92"/>
      <c r="L257" s="92"/>
      <c r="M257" s="92"/>
      <c r="N257" s="92"/>
      <c r="O257" s="92"/>
      <c r="P257" s="92"/>
      <c r="Q257" s="92"/>
      <c r="R257" s="92"/>
      <c r="S257" s="92"/>
      <c r="T257" s="92"/>
      <c r="U257" s="92"/>
      <c r="V257" s="92"/>
      <c r="W257" s="92"/>
    </row>
    <row r="258" spans="1:23">
      <c r="A258" s="93"/>
      <c r="B258" s="93"/>
      <c r="C258" s="254"/>
      <c r="D258" s="205"/>
      <c r="E258" s="94"/>
      <c r="F258" s="94"/>
      <c r="G258" s="94"/>
      <c r="H258" s="94"/>
      <c r="I258" s="94"/>
      <c r="J258" s="94"/>
      <c r="K258" s="92"/>
      <c r="L258" s="92"/>
      <c r="M258" s="92"/>
      <c r="N258" s="92"/>
      <c r="O258" s="92"/>
      <c r="P258" s="92"/>
      <c r="Q258" s="92"/>
      <c r="R258" s="92"/>
      <c r="S258" s="92"/>
      <c r="T258" s="92"/>
      <c r="U258" s="92"/>
      <c r="V258" s="92"/>
      <c r="W258" s="92"/>
    </row>
    <row r="259" spans="1:23">
      <c r="A259" s="93" t="s">
        <v>345</v>
      </c>
      <c r="B259" s="93"/>
      <c r="C259" s="94"/>
      <c r="D259" s="205"/>
      <c r="E259" s="94">
        <f>'5.Closing Stock &amp; W Capital'!F6</f>
        <v>788493.4463999999</v>
      </c>
      <c r="F259" s="94">
        <f>'5.Closing Stock &amp; W Capital'!G6</f>
        <v>931407.8835600001</v>
      </c>
      <c r="G259" s="94">
        <f>'5.Closing Stock &amp; W Capital'!H6</f>
        <v>1086642.5308200005</v>
      </c>
      <c r="H259" s="94">
        <f>'5.Closing Stock &amp; W Capital'!I6</f>
        <v>1255072.1230971003</v>
      </c>
      <c r="I259" s="94">
        <f>'5.Closing Stock &amp; W Capital'!J6</f>
        <v>1437628.068274861</v>
      </c>
      <c r="J259" s="94">
        <f>'5.Closing Stock &amp; W Capital'!K6</f>
        <v>1635301.9276626538</v>
      </c>
      <c r="K259" s="92"/>
      <c r="L259" s="92"/>
      <c r="M259" s="92"/>
      <c r="N259" s="92"/>
      <c r="O259" s="92"/>
      <c r="P259" s="92"/>
      <c r="Q259" s="92"/>
      <c r="R259" s="92"/>
      <c r="S259" s="92"/>
      <c r="T259" s="92"/>
      <c r="U259" s="92"/>
      <c r="V259" s="92"/>
      <c r="W259" s="92"/>
    </row>
    <row r="260" spans="1:23">
      <c r="A260" s="97" t="s">
        <v>346</v>
      </c>
      <c r="B260" s="93"/>
      <c r="C260" s="93"/>
      <c r="D260" s="205">
        <f>'5.Closing Stock &amp; W Capital'!E15</f>
        <v>788493.4463999999</v>
      </c>
      <c r="E260" s="94">
        <f>'5.Closing Stock &amp; W Capital'!F15</f>
        <v>931407.8835600001</v>
      </c>
      <c r="F260" s="94">
        <f>'5.Closing Stock &amp; W Capital'!G15</f>
        <v>1086642.5308200005</v>
      </c>
      <c r="G260" s="94">
        <f>'5.Closing Stock &amp; W Capital'!H15</f>
        <v>1255072.1230971003</v>
      </c>
      <c r="H260" s="94">
        <f>'5.Closing Stock &amp; W Capital'!I15</f>
        <v>1437628.068274861</v>
      </c>
      <c r="I260" s="94">
        <f>'5.Closing Stock &amp; W Capital'!J15</f>
        <v>1635301.9276626538</v>
      </c>
      <c r="J260" s="94">
        <f>'5.Closing Stock &amp; W Capital'!K15</f>
        <v>1849149.1028185398</v>
      </c>
      <c r="K260" s="92"/>
      <c r="L260" s="92"/>
      <c r="M260" s="92"/>
      <c r="N260" s="92"/>
      <c r="O260" s="92"/>
      <c r="P260" s="92"/>
      <c r="Q260" s="92"/>
      <c r="R260" s="92"/>
      <c r="S260" s="92"/>
      <c r="T260" s="92"/>
      <c r="U260" s="92"/>
      <c r="V260" s="92"/>
      <c r="W260" s="92"/>
    </row>
    <row r="261" spans="1:23">
      <c r="A261" s="93"/>
      <c r="B261" s="93"/>
      <c r="C261" s="93"/>
      <c r="D261" s="92"/>
      <c r="E261" s="92"/>
      <c r="F261" s="92"/>
      <c r="G261" s="92"/>
      <c r="H261" s="92"/>
      <c r="I261" s="92"/>
      <c r="J261" s="92"/>
      <c r="K261" s="92"/>
      <c r="L261" s="92"/>
      <c r="M261" s="92"/>
      <c r="N261" s="92"/>
      <c r="O261" s="92"/>
      <c r="P261" s="92"/>
      <c r="Q261" s="92"/>
      <c r="R261" s="92"/>
      <c r="S261" s="92"/>
      <c r="T261" s="92"/>
      <c r="U261" s="92"/>
      <c r="V261" s="92"/>
      <c r="W261" s="92"/>
    </row>
    <row r="262" spans="1:23">
      <c r="A262" s="95" t="s">
        <v>324</v>
      </c>
      <c r="B262" s="95"/>
      <c r="C262" s="113"/>
      <c r="D262" s="113">
        <f>SUM(D197:D258)+D259-D260</f>
        <v>79713215.112959981</v>
      </c>
      <c r="E262" s="113">
        <f t="shared" ref="E262:J262" si="70">SUM(E197:E258)+E259-E260</f>
        <v>94949728.798584014</v>
      </c>
      <c r="F262" s="113">
        <f t="shared" si="70"/>
        <v>110786182.46110803</v>
      </c>
      <c r="G262" s="113">
        <f t="shared" si="70"/>
        <v>127968907.16788796</v>
      </c>
      <c r="H262" s="113">
        <f t="shared" si="70"/>
        <v>146592938.88919321</v>
      </c>
      <c r="I262" s="113">
        <f t="shared" si="70"/>
        <v>166759451.51470914</v>
      </c>
      <c r="J262" s="113">
        <f t="shared" si="70"/>
        <v>188576133.05555373</v>
      </c>
      <c r="K262" s="92"/>
      <c r="L262" s="92"/>
      <c r="M262" s="92"/>
      <c r="N262" s="92"/>
      <c r="O262" s="92"/>
      <c r="P262" s="92"/>
      <c r="Q262" s="92"/>
      <c r="R262" s="92"/>
      <c r="S262" s="92"/>
      <c r="T262" s="92"/>
      <c r="U262" s="92"/>
      <c r="V262" s="92"/>
      <c r="W262" s="92"/>
    </row>
    <row r="263" spans="1:23">
      <c r="A263" s="93"/>
      <c r="B263" s="93"/>
      <c r="C263" s="94"/>
      <c r="D263" s="94"/>
      <c r="E263" s="94"/>
      <c r="F263" s="94"/>
      <c r="G263" s="94"/>
      <c r="H263" s="94"/>
      <c r="I263" s="94"/>
      <c r="J263" s="94"/>
      <c r="K263" s="92"/>
      <c r="L263" s="92"/>
      <c r="M263" s="92"/>
      <c r="N263" s="92"/>
      <c r="O263" s="92"/>
      <c r="P263" s="92"/>
      <c r="Q263" s="92"/>
      <c r="R263" s="92"/>
      <c r="S263" s="92"/>
      <c r="T263" s="92"/>
      <c r="U263" s="92"/>
      <c r="V263" s="92"/>
      <c r="W263" s="92"/>
    </row>
    <row r="264" spans="1:23">
      <c r="A264" s="95" t="s">
        <v>311</v>
      </c>
      <c r="B264" s="95"/>
      <c r="C264" s="94"/>
      <c r="D264" s="94"/>
      <c r="E264" s="94"/>
      <c r="F264" s="94"/>
      <c r="G264" s="94"/>
      <c r="H264" s="94"/>
      <c r="I264" s="94"/>
      <c r="J264" s="94"/>
      <c r="K264" s="92"/>
      <c r="L264" s="92"/>
      <c r="M264" s="92"/>
      <c r="N264" s="92"/>
      <c r="O264" s="92"/>
      <c r="P264" s="92"/>
      <c r="Q264" s="92"/>
      <c r="R264" s="92"/>
      <c r="S264" s="92"/>
      <c r="T264" s="92"/>
      <c r="U264" s="92"/>
      <c r="V264" s="92"/>
      <c r="W264" s="92"/>
    </row>
    <row r="265" spans="1:23">
      <c r="A265" s="93" t="s">
        <v>329</v>
      </c>
      <c r="B265" s="93">
        <v>12</v>
      </c>
      <c r="C265" s="254">
        <v>8000</v>
      </c>
      <c r="D265" s="94">
        <f t="shared" ref="D265:J265" si="71">$B$265*$C$265*D124</f>
        <v>96000</v>
      </c>
      <c r="E265" s="94">
        <f t="shared" si="71"/>
        <v>100800</v>
      </c>
      <c r="F265" s="94">
        <f t="shared" si="71"/>
        <v>105840</v>
      </c>
      <c r="G265" s="94">
        <f t="shared" si="71"/>
        <v>111132.00000000001</v>
      </c>
      <c r="H265" s="94">
        <f t="shared" si="71"/>
        <v>116688.60000000002</v>
      </c>
      <c r="I265" s="94">
        <f t="shared" si="71"/>
        <v>122523.03000000003</v>
      </c>
      <c r="J265" s="94">
        <f t="shared" si="71"/>
        <v>128649.18150000004</v>
      </c>
      <c r="K265" s="92"/>
      <c r="L265" s="92"/>
      <c r="M265" s="92"/>
      <c r="N265" s="92"/>
      <c r="O265" s="92"/>
      <c r="P265" s="92"/>
      <c r="Q265" s="92"/>
      <c r="R265" s="92"/>
      <c r="S265" s="92"/>
      <c r="T265" s="92"/>
      <c r="U265" s="92"/>
      <c r="V265" s="92"/>
      <c r="W265" s="92"/>
    </row>
    <row r="266" spans="1:23">
      <c r="A266" s="93" t="s">
        <v>330</v>
      </c>
      <c r="B266" s="230">
        <v>1</v>
      </c>
      <c r="C266" s="254">
        <v>8000</v>
      </c>
      <c r="D266" s="94">
        <f t="shared" ref="D266:J266" si="72">$B$266*$C$266*12*D124</f>
        <v>96000</v>
      </c>
      <c r="E266" s="94">
        <f t="shared" si="72"/>
        <v>100800</v>
      </c>
      <c r="F266" s="94">
        <f t="shared" si="72"/>
        <v>105840</v>
      </c>
      <c r="G266" s="94">
        <f t="shared" si="72"/>
        <v>111132.00000000001</v>
      </c>
      <c r="H266" s="94">
        <f t="shared" si="72"/>
        <v>116688.60000000002</v>
      </c>
      <c r="I266" s="94">
        <f t="shared" si="72"/>
        <v>122523.03000000003</v>
      </c>
      <c r="J266" s="94">
        <f t="shared" si="72"/>
        <v>128649.18150000004</v>
      </c>
      <c r="K266" s="92"/>
      <c r="L266" s="92"/>
      <c r="M266" s="92"/>
      <c r="N266" s="92"/>
      <c r="O266" s="92"/>
      <c r="P266" s="92"/>
      <c r="Q266" s="92"/>
      <c r="R266" s="92"/>
      <c r="S266" s="92"/>
      <c r="T266" s="92"/>
      <c r="U266" s="92"/>
      <c r="V266" s="92"/>
      <c r="W266" s="92"/>
    </row>
    <row r="267" spans="1:23">
      <c r="A267" s="93" t="s">
        <v>193</v>
      </c>
      <c r="B267" s="230">
        <v>1</v>
      </c>
      <c r="C267" s="254">
        <v>7000</v>
      </c>
      <c r="D267" s="94">
        <f t="shared" ref="D267:J267" si="73">$B$267*$C$267*12*D124</f>
        <v>84000</v>
      </c>
      <c r="E267" s="94">
        <f t="shared" si="73"/>
        <v>88200</v>
      </c>
      <c r="F267" s="94">
        <f t="shared" si="73"/>
        <v>92610</v>
      </c>
      <c r="G267" s="94">
        <f t="shared" si="73"/>
        <v>97240.500000000015</v>
      </c>
      <c r="H267" s="94">
        <f t="shared" si="73"/>
        <v>102102.52500000002</v>
      </c>
      <c r="I267" s="94">
        <f t="shared" si="73"/>
        <v>107207.65125000002</v>
      </c>
      <c r="J267" s="94">
        <f t="shared" si="73"/>
        <v>112568.03381250004</v>
      </c>
      <c r="K267" s="92"/>
      <c r="L267" s="92"/>
      <c r="M267" s="92"/>
      <c r="N267" s="92"/>
      <c r="O267" s="92"/>
      <c r="P267" s="92"/>
      <c r="Q267" s="92"/>
      <c r="R267" s="92"/>
      <c r="S267" s="92"/>
      <c r="T267" s="92"/>
      <c r="U267" s="92"/>
      <c r="V267" s="92"/>
      <c r="W267" s="92"/>
    </row>
    <row r="268" spans="1:23">
      <c r="A268" s="93" t="s">
        <v>331</v>
      </c>
      <c r="B268" s="93">
        <v>12</v>
      </c>
      <c r="C268" s="254">
        <v>3500</v>
      </c>
      <c r="D268" s="94">
        <f t="shared" ref="D268:J268" si="74">$B$268*$C$268*D124</f>
        <v>42000</v>
      </c>
      <c r="E268" s="94">
        <f t="shared" si="74"/>
        <v>44100</v>
      </c>
      <c r="F268" s="94">
        <f t="shared" si="74"/>
        <v>46305</v>
      </c>
      <c r="G268" s="94">
        <f t="shared" si="74"/>
        <v>48620.250000000007</v>
      </c>
      <c r="H268" s="94">
        <f t="shared" si="74"/>
        <v>51051.262500000012</v>
      </c>
      <c r="I268" s="94">
        <f t="shared" si="74"/>
        <v>53603.825625000012</v>
      </c>
      <c r="J268" s="94">
        <f t="shared" si="74"/>
        <v>56284.016906250021</v>
      </c>
      <c r="K268" s="92"/>
      <c r="L268" s="92"/>
      <c r="M268" s="92"/>
      <c r="N268" s="92"/>
      <c r="O268" s="92"/>
      <c r="P268" s="92"/>
      <c r="Q268" s="92"/>
      <c r="R268" s="92"/>
      <c r="S268" s="92"/>
      <c r="T268" s="92"/>
      <c r="U268" s="92"/>
      <c r="V268" s="92"/>
      <c r="W268" s="92"/>
    </row>
    <row r="269" spans="1:23">
      <c r="A269" s="93"/>
      <c r="B269" s="93"/>
      <c r="C269" s="254"/>
      <c r="D269" s="94"/>
      <c r="E269" s="94"/>
      <c r="F269" s="94"/>
      <c r="G269" s="94"/>
      <c r="H269" s="94"/>
      <c r="I269" s="94"/>
      <c r="J269" s="94"/>
      <c r="K269" s="92"/>
      <c r="L269" s="92"/>
      <c r="M269" s="92"/>
      <c r="N269" s="92"/>
      <c r="O269" s="92"/>
      <c r="P269" s="92"/>
      <c r="Q269" s="92"/>
      <c r="R269" s="92"/>
      <c r="S269" s="92"/>
      <c r="T269" s="92"/>
      <c r="U269" s="92"/>
      <c r="V269" s="92"/>
      <c r="W269" s="92"/>
    </row>
    <row r="270" spans="1:23">
      <c r="A270" s="93"/>
      <c r="B270" s="93"/>
      <c r="C270" s="254"/>
      <c r="D270" s="94"/>
      <c r="E270" s="94"/>
      <c r="F270" s="94"/>
      <c r="G270" s="94"/>
      <c r="H270" s="94"/>
      <c r="I270" s="94"/>
      <c r="J270" s="94"/>
      <c r="K270" s="92"/>
      <c r="L270" s="92"/>
      <c r="M270" s="92"/>
      <c r="N270" s="92"/>
      <c r="O270" s="92"/>
      <c r="P270" s="92"/>
      <c r="Q270" s="92"/>
      <c r="R270" s="92"/>
      <c r="S270" s="92"/>
      <c r="T270" s="92"/>
      <c r="U270" s="92"/>
      <c r="V270" s="92"/>
      <c r="W270" s="92"/>
    </row>
    <row r="271" spans="1:23">
      <c r="A271" s="93"/>
      <c r="B271" s="93"/>
      <c r="C271" s="254"/>
      <c r="D271" s="94"/>
      <c r="E271" s="94"/>
      <c r="F271" s="94"/>
      <c r="G271" s="94"/>
      <c r="H271" s="94"/>
      <c r="I271" s="94"/>
      <c r="J271" s="94"/>
      <c r="K271" s="92"/>
      <c r="L271" s="92"/>
      <c r="M271" s="92"/>
      <c r="N271" s="92"/>
      <c r="O271" s="92"/>
      <c r="P271" s="92"/>
      <c r="Q271" s="92"/>
      <c r="R271" s="92"/>
      <c r="S271" s="92"/>
      <c r="T271" s="92"/>
      <c r="U271" s="92"/>
      <c r="V271" s="92"/>
      <c r="W271" s="92"/>
    </row>
    <row r="272" spans="1:23">
      <c r="A272" s="93"/>
      <c r="B272" s="93"/>
      <c r="C272" s="254"/>
      <c r="D272" s="94"/>
      <c r="E272" s="94"/>
      <c r="F272" s="94"/>
      <c r="G272" s="94"/>
      <c r="H272" s="94"/>
      <c r="I272" s="94"/>
      <c r="J272" s="94"/>
      <c r="K272" s="92"/>
      <c r="L272" s="92"/>
      <c r="M272" s="92"/>
      <c r="N272" s="92"/>
      <c r="O272" s="92"/>
      <c r="P272" s="92"/>
      <c r="Q272" s="92"/>
      <c r="R272" s="92"/>
      <c r="S272" s="92"/>
      <c r="T272" s="92"/>
      <c r="U272" s="92"/>
      <c r="V272" s="92"/>
      <c r="W272" s="92"/>
    </row>
    <row r="273" spans="1:23">
      <c r="A273" s="95" t="s">
        <v>328</v>
      </c>
      <c r="B273" s="95"/>
      <c r="C273" s="113"/>
      <c r="D273" s="113">
        <f>SUM(D265:D272)</f>
        <v>318000</v>
      </c>
      <c r="E273" s="113">
        <f t="shared" ref="E273:J273" si="75">SUM(E265:E272)</f>
        <v>333900</v>
      </c>
      <c r="F273" s="113">
        <f t="shared" si="75"/>
        <v>350595</v>
      </c>
      <c r="G273" s="113">
        <f t="shared" si="75"/>
        <v>368124.75000000006</v>
      </c>
      <c r="H273" s="113">
        <f t="shared" si="75"/>
        <v>386530.9875000001</v>
      </c>
      <c r="I273" s="113">
        <f t="shared" si="75"/>
        <v>405857.53687500005</v>
      </c>
      <c r="J273" s="113">
        <f t="shared" si="75"/>
        <v>426150.41371875012</v>
      </c>
      <c r="K273" s="92"/>
      <c r="L273" s="92"/>
      <c r="M273" s="92"/>
      <c r="N273" s="92"/>
      <c r="O273" s="92"/>
      <c r="P273" s="92"/>
      <c r="Q273" s="92"/>
      <c r="R273" s="92"/>
      <c r="S273" s="92"/>
      <c r="T273" s="92"/>
      <c r="U273" s="92"/>
      <c r="V273" s="92"/>
      <c r="W273" s="92"/>
    </row>
    <row r="274" spans="1:23">
      <c r="A274" s="193" t="s">
        <v>135</v>
      </c>
      <c r="B274" s="193"/>
      <c r="C274" s="206"/>
      <c r="D274" s="113">
        <f t="shared" ref="D274:J274" si="76">D262+D273</f>
        <v>80031215.112959981</v>
      </c>
      <c r="E274" s="113">
        <f t="shared" si="76"/>
        <v>95283628.798584014</v>
      </c>
      <c r="F274" s="113">
        <f t="shared" si="76"/>
        <v>111136777.46110803</v>
      </c>
      <c r="G274" s="113">
        <f t="shared" si="76"/>
        <v>128337031.91788796</v>
      </c>
      <c r="H274" s="113">
        <f t="shared" si="76"/>
        <v>146979469.87669322</v>
      </c>
      <c r="I274" s="113">
        <f t="shared" si="76"/>
        <v>167165309.05158415</v>
      </c>
      <c r="J274" s="113">
        <f t="shared" si="76"/>
        <v>189002283.46927249</v>
      </c>
      <c r="K274" s="92"/>
      <c r="L274" s="92"/>
      <c r="M274" s="92"/>
      <c r="N274" s="92"/>
      <c r="O274" s="92"/>
      <c r="P274" s="92"/>
      <c r="Q274" s="92"/>
      <c r="R274" s="92"/>
      <c r="S274" s="92"/>
      <c r="T274" s="92"/>
      <c r="U274" s="92"/>
      <c r="V274" s="92"/>
      <c r="W274" s="92"/>
    </row>
    <row r="275" spans="1:23">
      <c r="A275" s="93"/>
      <c r="B275" s="93"/>
      <c r="C275" s="94"/>
      <c r="D275" s="94"/>
      <c r="E275" s="94"/>
      <c r="F275" s="94"/>
      <c r="G275" s="94"/>
      <c r="H275" s="94"/>
      <c r="I275" s="94"/>
      <c r="J275" s="94"/>
      <c r="K275" s="92"/>
      <c r="L275" s="92"/>
      <c r="M275" s="92"/>
      <c r="N275" s="92"/>
      <c r="O275" s="92"/>
      <c r="P275" s="92"/>
      <c r="Q275" s="92"/>
      <c r="R275" s="92"/>
      <c r="S275" s="92"/>
      <c r="T275" s="92"/>
      <c r="U275" s="92"/>
      <c r="V275" s="92"/>
      <c r="W275" s="92"/>
    </row>
    <row r="276" spans="1:23">
      <c r="A276" s="193" t="s">
        <v>7</v>
      </c>
      <c r="B276" s="193"/>
      <c r="C276" s="206"/>
      <c r="D276" s="113">
        <f t="shared" ref="D276:J276" si="77">D191-D274</f>
        <v>71004.042240008712</v>
      </c>
      <c r="E276" s="113">
        <f t="shared" si="77"/>
        <v>172050.40953597426</v>
      </c>
      <c r="F276" s="113">
        <f t="shared" si="77"/>
        <v>240357.7188180089</v>
      </c>
      <c r="G276" s="113">
        <f t="shared" si="77"/>
        <v>315065.63300438225</v>
      </c>
      <c r="H276" s="113">
        <f t="shared" si="77"/>
        <v>396643.44431227446</v>
      </c>
      <c r="I276" s="113">
        <f t="shared" si="77"/>
        <v>485591.37266853452</v>
      </c>
      <c r="J276" s="113">
        <f t="shared" si="77"/>
        <v>582442.48524963856</v>
      </c>
      <c r="K276" s="92"/>
      <c r="L276" s="92"/>
      <c r="M276" s="92"/>
      <c r="N276" s="92"/>
      <c r="O276" s="92"/>
      <c r="P276" s="92"/>
      <c r="Q276" s="92"/>
      <c r="R276" s="92"/>
      <c r="S276" s="92"/>
      <c r="T276" s="92"/>
      <c r="U276" s="92"/>
      <c r="V276" s="92"/>
      <c r="W276" s="92"/>
    </row>
    <row r="277" spans="1:23">
      <c r="A277" s="114"/>
      <c r="B277" s="114"/>
      <c r="C277" s="114"/>
      <c r="D277" s="92"/>
      <c r="E277" s="92"/>
      <c r="F277" s="92"/>
      <c r="G277" s="92"/>
      <c r="H277" s="92"/>
      <c r="I277" s="92"/>
      <c r="J277" s="92"/>
      <c r="K277" s="92"/>
      <c r="L277" s="92"/>
      <c r="M277" s="92"/>
      <c r="N277" s="92"/>
      <c r="O277" s="92"/>
      <c r="P277" s="92"/>
      <c r="Q277" s="92"/>
      <c r="R277" s="92"/>
      <c r="S277" s="92"/>
      <c r="T277" s="92"/>
      <c r="U277" s="92"/>
      <c r="V277" s="92"/>
      <c r="W277" s="92"/>
    </row>
    <row r="278" spans="1:23">
      <c r="A278" s="92"/>
      <c r="B278" s="92"/>
      <c r="C278" s="92"/>
      <c r="D278" s="92"/>
      <c r="E278" s="92"/>
      <c r="F278" s="92"/>
      <c r="G278" s="92"/>
      <c r="H278" s="92"/>
      <c r="I278" s="92"/>
      <c r="J278" s="92"/>
      <c r="K278" s="92"/>
      <c r="L278" s="92"/>
      <c r="M278" s="92"/>
      <c r="N278" s="92"/>
      <c r="O278" s="92"/>
      <c r="P278" s="92"/>
      <c r="Q278" s="92"/>
      <c r="R278" s="92"/>
      <c r="S278" s="92"/>
      <c r="T278" s="92"/>
      <c r="U278" s="92"/>
      <c r="V278" s="92"/>
      <c r="W278" s="92"/>
    </row>
    <row r="279" spans="1:23">
      <c r="A279" s="429" t="s">
        <v>425</v>
      </c>
      <c r="B279" s="429"/>
      <c r="C279" s="429"/>
      <c r="D279" s="429"/>
      <c r="E279" s="429"/>
      <c r="F279" s="429"/>
      <c r="G279" s="429"/>
      <c r="H279" s="429"/>
      <c r="I279" s="429"/>
      <c r="J279" s="429"/>
    </row>
    <row r="281" spans="1:23">
      <c r="A281" t="s">
        <v>541</v>
      </c>
    </row>
    <row r="282" spans="1:23">
      <c r="A282">
        <v>1</v>
      </c>
      <c r="B282" t="s">
        <v>552</v>
      </c>
    </row>
    <row r="283" spans="1:23">
      <c r="A283">
        <v>2</v>
      </c>
      <c r="B283" t="s">
        <v>553</v>
      </c>
    </row>
    <row r="284" spans="1:23">
      <c r="A284">
        <v>3</v>
      </c>
      <c r="B284" s="92" t="s">
        <v>605</v>
      </c>
    </row>
  </sheetData>
  <mergeCells count="3">
    <mergeCell ref="A122:J122"/>
    <mergeCell ref="A2:I2"/>
    <mergeCell ref="A279:J279"/>
  </mergeCells>
  <pageMargins left="0.7" right="0.7" top="0.75" bottom="0.75" header="0.3" footer="0.3"/>
  <pageSetup scale="44" orientation="portrait" r:id="rId1"/>
  <rowBreaks count="2" manualBreakCount="2">
    <brk id="84" max="9" man="1"/>
    <brk id="174"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81" zoomScale="80" zoomScaleSheetLayoutView="80" workbookViewId="0">
      <selection activeCell="C63" sqref="C63"/>
    </sheetView>
  </sheetViews>
  <sheetFormatPr defaultRowHeight="14.4"/>
  <cols>
    <col min="1" max="1" width="41.6640625" bestFit="1" customWidth="1"/>
    <col min="2" max="2" width="11.5546875" bestFit="1" customWidth="1"/>
    <col min="3" max="3" width="12.5546875" bestFit="1" customWidth="1"/>
    <col min="4" max="4" width="15.109375" customWidth="1"/>
    <col min="5" max="8" width="17.33203125" customWidth="1"/>
    <col min="9" max="10" width="16.88671875" bestFit="1" customWidth="1"/>
  </cols>
  <sheetData>
    <row r="3" spans="1:8" ht="17.399999999999999">
      <c r="A3" s="428" t="s">
        <v>600</v>
      </c>
      <c r="B3" s="428"/>
      <c r="C3" s="428"/>
      <c r="D3" s="428"/>
      <c r="E3" s="428"/>
      <c r="F3" s="428"/>
      <c r="G3" s="428"/>
      <c r="H3" s="428"/>
    </row>
    <row r="4" spans="1:8" ht="17.399999999999999">
      <c r="A4" s="428" t="s">
        <v>601</v>
      </c>
      <c r="B4" s="428"/>
      <c r="C4" s="428"/>
      <c r="D4" s="428"/>
      <c r="E4" s="428"/>
      <c r="F4" s="428"/>
      <c r="G4" s="428"/>
      <c r="H4" s="428"/>
    </row>
    <row r="5" spans="1:8">
      <c r="A5" s="92" t="s">
        <v>162</v>
      </c>
      <c r="B5" s="247">
        <v>1</v>
      </c>
      <c r="C5" s="92" t="s">
        <v>472</v>
      </c>
      <c r="D5" s="92"/>
      <c r="E5" s="92"/>
      <c r="F5" s="92"/>
      <c r="G5" s="92"/>
      <c r="H5" s="92"/>
    </row>
    <row r="6" spans="1:8">
      <c r="A6" s="92" t="s">
        <v>163</v>
      </c>
      <c r="B6" s="279">
        <v>8</v>
      </c>
      <c r="C6" s="92"/>
      <c r="D6" s="92"/>
      <c r="E6" s="92"/>
      <c r="F6" s="92"/>
      <c r="G6" s="92"/>
      <c r="H6" s="92"/>
    </row>
    <row r="7" spans="1:8">
      <c r="A7" s="92"/>
      <c r="B7" s="279"/>
      <c r="C7" s="92"/>
      <c r="D7" s="92"/>
      <c r="E7" s="92"/>
      <c r="F7" s="92"/>
      <c r="G7" s="92"/>
      <c r="H7" s="92"/>
    </row>
    <row r="8" spans="1:8">
      <c r="A8" s="92"/>
      <c r="B8" s="279"/>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170</v>
      </c>
      <c r="H11" s="81" t="s">
        <v>169</v>
      </c>
    </row>
    <row r="12" spans="1:8">
      <c r="A12" s="93" t="s">
        <v>171</v>
      </c>
      <c r="B12" s="313">
        <f t="shared" ref="B12:H12" si="0">B39/($B$5*$B$6)</f>
        <v>0</v>
      </c>
      <c r="C12" s="313">
        <f t="shared" si="0"/>
        <v>0</v>
      </c>
      <c r="D12" s="313">
        <f t="shared" si="0"/>
        <v>0</v>
      </c>
      <c r="E12" s="313">
        <f t="shared" si="0"/>
        <v>0</v>
      </c>
      <c r="F12" s="313">
        <f t="shared" si="0"/>
        <v>0</v>
      </c>
      <c r="G12" s="313">
        <f t="shared" si="0"/>
        <v>0</v>
      </c>
      <c r="H12" s="313">
        <f t="shared" si="0"/>
        <v>0</v>
      </c>
    </row>
    <row r="13" spans="1:8">
      <c r="A13" s="93" t="str">
        <f>'11.F&amp;V Crop Production details'!A74</f>
        <v>Onion</v>
      </c>
      <c r="B13" s="93">
        <f>'11.F&amp;V Crop Production details'!B74</f>
        <v>0</v>
      </c>
      <c r="C13" s="93">
        <f>'11.F&amp;V Crop Production details'!C74</f>
        <v>0</v>
      </c>
      <c r="D13" s="93">
        <f>'11.F&amp;V Crop Production details'!D74</f>
        <v>0</v>
      </c>
      <c r="E13" s="93">
        <f>'11.F&amp;V Crop Production details'!E74</f>
        <v>0</v>
      </c>
      <c r="F13" s="93">
        <f>'11.F&amp;V Crop Production details'!F74</f>
        <v>0</v>
      </c>
      <c r="G13" s="93">
        <f>'11.F&amp;V Crop Production details'!G74</f>
        <v>0</v>
      </c>
      <c r="H13" s="93">
        <f>'11.F&amp;V Crop Production details'!H74</f>
        <v>0</v>
      </c>
    </row>
    <row r="14" spans="1:8">
      <c r="A14" s="93" t="str">
        <f>'11.F&amp;V Crop Production details'!A75</f>
        <v>Tomato</v>
      </c>
      <c r="B14" s="93">
        <f>'11.F&amp;V Crop Production details'!B75</f>
        <v>0</v>
      </c>
      <c r="C14" s="93">
        <f>'11.F&amp;V Crop Production details'!C75</f>
        <v>0</v>
      </c>
      <c r="D14" s="93">
        <f>'11.F&amp;V Crop Production details'!D75</f>
        <v>0</v>
      </c>
      <c r="E14" s="93">
        <f>'11.F&amp;V Crop Production details'!E75</f>
        <v>0</v>
      </c>
      <c r="F14" s="93">
        <f>'11.F&amp;V Crop Production details'!F75</f>
        <v>0</v>
      </c>
      <c r="G14" s="93">
        <f>'11.F&amp;V Crop Production details'!G75</f>
        <v>0</v>
      </c>
      <c r="H14" s="93">
        <f>'11.F&amp;V Crop Production details'!H75</f>
        <v>0</v>
      </c>
    </row>
    <row r="15" spans="1:8">
      <c r="A15" s="93" t="str">
        <f>'11.F&amp;V Crop Production details'!A76</f>
        <v>Okra</v>
      </c>
      <c r="B15" s="93">
        <f>'11.F&amp;V Crop Production details'!B76</f>
        <v>0</v>
      </c>
      <c r="C15" s="93">
        <f>'11.F&amp;V Crop Production details'!C76</f>
        <v>0</v>
      </c>
      <c r="D15" s="93">
        <f>'11.F&amp;V Crop Production details'!D76</f>
        <v>0</v>
      </c>
      <c r="E15" s="93">
        <f>'11.F&amp;V Crop Production details'!E76</f>
        <v>0</v>
      </c>
      <c r="F15" s="93">
        <f>'11.F&amp;V Crop Production details'!F76</f>
        <v>0</v>
      </c>
      <c r="G15" s="93">
        <f>'11.F&amp;V Crop Production details'!G76</f>
        <v>0</v>
      </c>
      <c r="H15" s="93">
        <f>'11.F&amp;V Crop Production details'!H76</f>
        <v>0</v>
      </c>
    </row>
    <row r="16" spans="1:8">
      <c r="A16" s="93" t="str">
        <f>'11.F&amp;V Crop Production details'!A77</f>
        <v>Chilli</v>
      </c>
      <c r="B16" s="93">
        <f>'11.F&amp;V Crop Production details'!B77</f>
        <v>0</v>
      </c>
      <c r="C16" s="93">
        <f>'11.F&amp;V Crop Production details'!C77</f>
        <v>0</v>
      </c>
      <c r="D16" s="93">
        <f>'11.F&amp;V Crop Production details'!D77</f>
        <v>0</v>
      </c>
      <c r="E16" s="93">
        <f>'11.F&amp;V Crop Production details'!E77</f>
        <v>0</v>
      </c>
      <c r="F16" s="93">
        <f>'11.F&amp;V Crop Production details'!F77</f>
        <v>0</v>
      </c>
      <c r="G16" s="93">
        <f>'11.F&amp;V Crop Production details'!G77</f>
        <v>0</v>
      </c>
      <c r="H16" s="93">
        <f>'11.F&amp;V Crop Production details'!H77</f>
        <v>0</v>
      </c>
    </row>
    <row r="17" spans="1:8">
      <c r="A17" s="93" t="str">
        <f>'11.F&amp;V Crop Production details'!A78</f>
        <v>Potato</v>
      </c>
      <c r="B17" s="93">
        <f>'11.F&amp;V Crop Production details'!B78</f>
        <v>0</v>
      </c>
      <c r="C17" s="93">
        <f>'11.F&amp;V Crop Production details'!C78</f>
        <v>0</v>
      </c>
      <c r="D17" s="93">
        <f>'11.F&amp;V Crop Production details'!D78</f>
        <v>0</v>
      </c>
      <c r="E17" s="93">
        <f>'11.F&amp;V Crop Production details'!E78</f>
        <v>0</v>
      </c>
      <c r="F17" s="93">
        <f>'11.F&amp;V Crop Production details'!F78</f>
        <v>0</v>
      </c>
      <c r="G17" s="93">
        <f>'11.F&amp;V Crop Production details'!G78</f>
        <v>0</v>
      </c>
      <c r="H17" s="93">
        <f>'11.F&amp;V Crop Production details'!H78</f>
        <v>0</v>
      </c>
    </row>
    <row r="18" spans="1:8">
      <c r="A18" s="93">
        <f>'11.F&amp;V Crop Production details'!A79</f>
        <v>0</v>
      </c>
      <c r="B18" s="93">
        <f>'11.F&amp;V Crop Production details'!B79</f>
        <v>0</v>
      </c>
      <c r="C18" s="93">
        <f>'11.F&amp;V Crop Production details'!C79</f>
        <v>0</v>
      </c>
      <c r="D18" s="93">
        <f>'11.F&amp;V Crop Production details'!D79</f>
        <v>0</v>
      </c>
      <c r="E18" s="93">
        <f>'11.F&amp;V Crop Production details'!E79</f>
        <v>0</v>
      </c>
      <c r="F18" s="93">
        <f>'11.F&amp;V Crop Production details'!F79</f>
        <v>0</v>
      </c>
      <c r="G18" s="93">
        <f>'11.F&amp;V Crop Production details'!G79</f>
        <v>0</v>
      </c>
      <c r="H18" s="93">
        <f>'11.F&amp;V Crop Production details'!H79</f>
        <v>0</v>
      </c>
    </row>
    <row r="19" spans="1:8">
      <c r="A19" s="93">
        <f>'11.F&amp;V Crop Production details'!A80</f>
        <v>0</v>
      </c>
      <c r="B19" s="93">
        <f>'11.F&amp;V Crop Production details'!B80</f>
        <v>0</v>
      </c>
      <c r="C19" s="93">
        <f>'11.F&amp;V Crop Production details'!C80</f>
        <v>0</v>
      </c>
      <c r="D19" s="93">
        <f>'11.F&amp;V Crop Production details'!D80</f>
        <v>0</v>
      </c>
      <c r="E19" s="93">
        <f>'11.F&amp;V Crop Production details'!E80</f>
        <v>0</v>
      </c>
      <c r="F19" s="93">
        <f>'11.F&amp;V Crop Production details'!F80</f>
        <v>0</v>
      </c>
      <c r="G19" s="93">
        <f>'11.F&amp;V Crop Production details'!G80</f>
        <v>0</v>
      </c>
      <c r="H19" s="93">
        <f>'11.F&amp;V Crop Production details'!H80</f>
        <v>0</v>
      </c>
    </row>
    <row r="20" spans="1:8">
      <c r="A20" s="93">
        <f>'11.F&amp;V Crop Production details'!A81</f>
        <v>0</v>
      </c>
      <c r="B20" s="93">
        <f>'11.F&amp;V Crop Production details'!B81</f>
        <v>0</v>
      </c>
      <c r="C20" s="93">
        <f>'11.F&amp;V Crop Production details'!C81</f>
        <v>0</v>
      </c>
      <c r="D20" s="93">
        <f>'11.F&amp;V Crop Production details'!D81</f>
        <v>0</v>
      </c>
      <c r="E20" s="93">
        <f>'11.F&amp;V Crop Production details'!E81</f>
        <v>0</v>
      </c>
      <c r="F20" s="93">
        <f>'11.F&amp;V Crop Production details'!F81</f>
        <v>0</v>
      </c>
      <c r="G20" s="93">
        <f>'11.F&amp;V Crop Production details'!G81</f>
        <v>0</v>
      </c>
      <c r="H20" s="93">
        <f>'11.F&amp;V Crop Production details'!H81</f>
        <v>0</v>
      </c>
    </row>
    <row r="21" spans="1:8">
      <c r="A21" s="93">
        <f>'11.F&amp;V Crop Production details'!A82</f>
        <v>0</v>
      </c>
      <c r="B21" s="93">
        <f>'11.F&amp;V Crop Production details'!B82</f>
        <v>0</v>
      </c>
      <c r="C21" s="93">
        <f>'11.F&amp;V Crop Production details'!C82</f>
        <v>0</v>
      </c>
      <c r="D21" s="93">
        <f>'11.F&amp;V Crop Production details'!D82</f>
        <v>0</v>
      </c>
      <c r="E21" s="93">
        <f>'11.F&amp;V Crop Production details'!E82</f>
        <v>0</v>
      </c>
      <c r="F21" s="93">
        <f>'11.F&amp;V Crop Production details'!F82</f>
        <v>0</v>
      </c>
      <c r="G21" s="93">
        <f>'11.F&amp;V Crop Production details'!G82</f>
        <v>0</v>
      </c>
      <c r="H21" s="93">
        <f>'11.F&amp;V Crop Production details'!H82</f>
        <v>0</v>
      </c>
    </row>
    <row r="22" spans="1:8">
      <c r="A22" s="93" t="str">
        <f>'11.F&amp;V Crop Production details'!A83</f>
        <v>Onion</v>
      </c>
      <c r="B22" s="93">
        <f>'11.F&amp;V Crop Production details'!B83</f>
        <v>0</v>
      </c>
      <c r="C22" s="93">
        <f>'11.F&amp;V Crop Production details'!C83</f>
        <v>0</v>
      </c>
      <c r="D22" s="93">
        <f>'11.F&amp;V Crop Production details'!D83</f>
        <v>0</v>
      </c>
      <c r="E22" s="93">
        <f>'11.F&amp;V Crop Production details'!E83</f>
        <v>0</v>
      </c>
      <c r="F22" s="93">
        <f>'11.F&amp;V Crop Production details'!F83</f>
        <v>0</v>
      </c>
      <c r="G22" s="93">
        <f>'11.F&amp;V Crop Production details'!G83</f>
        <v>0</v>
      </c>
      <c r="H22" s="93">
        <f>'11.F&amp;V Crop Production details'!H83</f>
        <v>0</v>
      </c>
    </row>
    <row r="23" spans="1:8">
      <c r="A23" s="93" t="str">
        <f>'11.F&amp;V Crop Production details'!A84</f>
        <v>Tomato</v>
      </c>
      <c r="B23" s="93">
        <f>'11.F&amp;V Crop Production details'!B84</f>
        <v>0</v>
      </c>
      <c r="C23" s="93">
        <f>'11.F&amp;V Crop Production details'!C84</f>
        <v>0</v>
      </c>
      <c r="D23" s="93">
        <f>'11.F&amp;V Crop Production details'!D84</f>
        <v>0</v>
      </c>
      <c r="E23" s="93">
        <f>'11.F&amp;V Crop Production details'!E84</f>
        <v>0</v>
      </c>
      <c r="F23" s="93">
        <f>'11.F&amp;V Crop Production details'!F84</f>
        <v>0</v>
      </c>
      <c r="G23" s="93">
        <f>'11.F&amp;V Crop Production details'!G84</f>
        <v>0</v>
      </c>
      <c r="H23" s="93">
        <f>'11.F&amp;V Crop Production details'!H84</f>
        <v>0</v>
      </c>
    </row>
    <row r="24" spans="1:8">
      <c r="A24" s="93" t="str">
        <f>'11.F&amp;V Crop Production details'!A85</f>
        <v>Okra</v>
      </c>
      <c r="B24" s="93">
        <f>'11.F&amp;V Crop Production details'!B85</f>
        <v>0</v>
      </c>
      <c r="C24" s="93">
        <f>'11.F&amp;V Crop Production details'!C85</f>
        <v>0</v>
      </c>
      <c r="D24" s="93">
        <f>'11.F&amp;V Crop Production details'!D85</f>
        <v>0</v>
      </c>
      <c r="E24" s="93">
        <f>'11.F&amp;V Crop Production details'!E85</f>
        <v>0</v>
      </c>
      <c r="F24" s="93">
        <f>'11.F&amp;V Crop Production details'!F85</f>
        <v>0</v>
      </c>
      <c r="G24" s="93">
        <f>'11.F&amp;V Crop Production details'!G85</f>
        <v>0</v>
      </c>
      <c r="H24" s="93">
        <f>'11.F&amp;V Crop Production details'!H85</f>
        <v>0</v>
      </c>
    </row>
    <row r="25" spans="1:8">
      <c r="A25" s="93" t="str">
        <f>'11.F&amp;V Crop Production details'!A86</f>
        <v>Chilli</v>
      </c>
      <c r="B25" s="93">
        <f>'11.F&amp;V Crop Production details'!B86</f>
        <v>0</v>
      </c>
      <c r="C25" s="93">
        <f>'11.F&amp;V Crop Production details'!C86</f>
        <v>0</v>
      </c>
      <c r="D25" s="93">
        <f>'11.F&amp;V Crop Production details'!D86</f>
        <v>0</v>
      </c>
      <c r="E25" s="93">
        <f>'11.F&amp;V Crop Production details'!E86</f>
        <v>0</v>
      </c>
      <c r="F25" s="93">
        <f>'11.F&amp;V Crop Production details'!F86</f>
        <v>0</v>
      </c>
      <c r="G25" s="93">
        <f>'11.F&amp;V Crop Production details'!G86</f>
        <v>0</v>
      </c>
      <c r="H25" s="93">
        <f>'11.F&amp;V Crop Production details'!H86</f>
        <v>0</v>
      </c>
    </row>
    <row r="26" spans="1:8">
      <c r="A26" s="93" t="str">
        <f>'11.F&amp;V Crop Production details'!A87</f>
        <v>Brinjal</v>
      </c>
      <c r="B26" s="93">
        <f>'11.F&amp;V Crop Production details'!B87</f>
        <v>0</v>
      </c>
      <c r="C26" s="93">
        <f>'11.F&amp;V Crop Production details'!C87</f>
        <v>0</v>
      </c>
      <c r="D26" s="93">
        <f>'11.F&amp;V Crop Production details'!D87</f>
        <v>0</v>
      </c>
      <c r="E26" s="93">
        <f>'11.F&amp;V Crop Production details'!E87</f>
        <v>0</v>
      </c>
      <c r="F26" s="93">
        <f>'11.F&amp;V Crop Production details'!F87</f>
        <v>0</v>
      </c>
      <c r="G26" s="93">
        <f>'11.F&amp;V Crop Production details'!G87</f>
        <v>0</v>
      </c>
      <c r="H26" s="93">
        <f>'11.F&amp;V Crop Production details'!H87</f>
        <v>0</v>
      </c>
    </row>
    <row r="27" spans="1:8">
      <c r="A27" s="93">
        <f>'11.F&amp;V Crop Production details'!A88</f>
        <v>0</v>
      </c>
      <c r="B27" s="93">
        <f>'11.F&amp;V Crop Production details'!B88</f>
        <v>0</v>
      </c>
      <c r="C27" s="93">
        <f>'11.F&amp;V Crop Production details'!C88</f>
        <v>0</v>
      </c>
      <c r="D27" s="93">
        <f>'11.F&amp;V Crop Production details'!D88</f>
        <v>0</v>
      </c>
      <c r="E27" s="93">
        <f>'11.F&amp;V Crop Production details'!E88</f>
        <v>0</v>
      </c>
      <c r="F27" s="93">
        <f>'11.F&amp;V Crop Production details'!F88</f>
        <v>0</v>
      </c>
      <c r="G27" s="93">
        <f>'11.F&amp;V Crop Production details'!G88</f>
        <v>0</v>
      </c>
      <c r="H27" s="93">
        <f>'11.F&amp;V Crop Production details'!H88</f>
        <v>0</v>
      </c>
    </row>
    <row r="28" spans="1:8">
      <c r="A28" s="93">
        <f>'11.F&amp;V Crop Production details'!A89</f>
        <v>0</v>
      </c>
      <c r="B28" s="93">
        <f>'11.F&amp;V Crop Production details'!B89</f>
        <v>0</v>
      </c>
      <c r="C28" s="93">
        <f>'11.F&amp;V Crop Production details'!C89</f>
        <v>0</v>
      </c>
      <c r="D28" s="93">
        <f>'11.F&amp;V Crop Production details'!D89</f>
        <v>0</v>
      </c>
      <c r="E28" s="93">
        <f>'11.F&amp;V Crop Production details'!E89</f>
        <v>0</v>
      </c>
      <c r="F28" s="93">
        <f>'11.F&amp;V Crop Production details'!F89</f>
        <v>0</v>
      </c>
      <c r="G28" s="93">
        <f>'11.F&amp;V Crop Production details'!G89</f>
        <v>0</v>
      </c>
      <c r="H28" s="93">
        <f>'11.F&amp;V Crop Production details'!H89</f>
        <v>0</v>
      </c>
    </row>
    <row r="29" spans="1:8">
      <c r="A29" s="93">
        <f>'11.F&amp;V Crop Production details'!A90</f>
        <v>0</v>
      </c>
      <c r="B29" s="93">
        <f>'11.F&amp;V Crop Production details'!B90</f>
        <v>0</v>
      </c>
      <c r="C29" s="93">
        <f>'11.F&amp;V Crop Production details'!C90</f>
        <v>0</v>
      </c>
      <c r="D29" s="93">
        <f>'11.F&amp;V Crop Production details'!D90</f>
        <v>0</v>
      </c>
      <c r="E29" s="93">
        <f>'11.F&amp;V Crop Production details'!E90</f>
        <v>0</v>
      </c>
      <c r="F29" s="93">
        <f>'11.F&amp;V Crop Production details'!F90</f>
        <v>0</v>
      </c>
      <c r="G29" s="93">
        <f>'11.F&amp;V Crop Production details'!G90</f>
        <v>0</v>
      </c>
      <c r="H29" s="93">
        <f>'11.F&amp;V Crop Production details'!H90</f>
        <v>0</v>
      </c>
    </row>
    <row r="30" spans="1:8">
      <c r="A30" s="93">
        <f>'11.F&amp;V Crop Production details'!A91</f>
        <v>0</v>
      </c>
      <c r="B30" s="93">
        <f>'11.F&amp;V Crop Production details'!B91</f>
        <v>0</v>
      </c>
      <c r="C30" s="93">
        <f>'11.F&amp;V Crop Production details'!C91</f>
        <v>0</v>
      </c>
      <c r="D30" s="93">
        <f>'11.F&amp;V Crop Production details'!D91</f>
        <v>0</v>
      </c>
      <c r="E30" s="93">
        <f>'11.F&amp;V Crop Production details'!E91</f>
        <v>0</v>
      </c>
      <c r="F30" s="93">
        <f>'11.F&amp;V Crop Production details'!F91</f>
        <v>0</v>
      </c>
      <c r="G30" s="93">
        <f>'11.F&amp;V Crop Production details'!G91</f>
        <v>0</v>
      </c>
      <c r="H30" s="93">
        <f>'11.F&amp;V Crop Production details'!H91</f>
        <v>0</v>
      </c>
    </row>
    <row r="31" spans="1:8">
      <c r="A31" s="93">
        <f>'11.F&amp;V Crop Production details'!A92</f>
        <v>0</v>
      </c>
      <c r="B31" s="93">
        <f>'11.F&amp;V Crop Production details'!B92</f>
        <v>0</v>
      </c>
      <c r="C31" s="93">
        <f>'11.F&amp;V Crop Production details'!C92</f>
        <v>0</v>
      </c>
      <c r="D31" s="93">
        <f>'11.F&amp;V Crop Production details'!D92</f>
        <v>0</v>
      </c>
      <c r="E31" s="93">
        <f>'11.F&amp;V Crop Production details'!E92</f>
        <v>0</v>
      </c>
      <c r="F31" s="93">
        <f>'11.F&amp;V Crop Production details'!F92</f>
        <v>0</v>
      </c>
      <c r="G31" s="93">
        <f>'11.F&amp;V Crop Production details'!G92</f>
        <v>0</v>
      </c>
      <c r="H31" s="93">
        <f>'11.F&amp;V Crop Production details'!H92</f>
        <v>0</v>
      </c>
    </row>
    <row r="32" spans="1:8">
      <c r="A32" s="93">
        <f>'11.F&amp;V Crop Production details'!A93</f>
        <v>0</v>
      </c>
      <c r="B32" s="93">
        <f>'11.F&amp;V Crop Production details'!B93</f>
        <v>0</v>
      </c>
      <c r="C32" s="93">
        <f>'11.F&amp;V Crop Production details'!C93</f>
        <v>0</v>
      </c>
      <c r="D32" s="93">
        <f>'11.F&amp;V Crop Production details'!D93</f>
        <v>0</v>
      </c>
      <c r="E32" s="93">
        <f>'11.F&amp;V Crop Production details'!E93</f>
        <v>0</v>
      </c>
      <c r="F32" s="93">
        <f>'11.F&amp;V Crop Production details'!F93</f>
        <v>0</v>
      </c>
      <c r="G32" s="93">
        <f>'11.F&amp;V Crop Production details'!G93</f>
        <v>0</v>
      </c>
      <c r="H32" s="93">
        <f>'11.F&amp;V Crop Production details'!H93</f>
        <v>0</v>
      </c>
    </row>
    <row r="33" spans="1:8">
      <c r="A33" s="93">
        <f>'11.F&amp;V Crop Production details'!A94</f>
        <v>0</v>
      </c>
      <c r="B33" s="93">
        <f>'11.F&amp;V Crop Production details'!B94</f>
        <v>0</v>
      </c>
      <c r="C33" s="93">
        <f>'11.F&amp;V Crop Production details'!C94</f>
        <v>0</v>
      </c>
      <c r="D33" s="93">
        <f>'11.F&amp;V Crop Production details'!D94</f>
        <v>0</v>
      </c>
      <c r="E33" s="93">
        <f>'11.F&amp;V Crop Production details'!E94</f>
        <v>0</v>
      </c>
      <c r="F33" s="93">
        <f>'11.F&amp;V Crop Production details'!F94</f>
        <v>0</v>
      </c>
      <c r="G33" s="93">
        <f>'11.F&amp;V Crop Production details'!G94</f>
        <v>0</v>
      </c>
      <c r="H33" s="93">
        <f>'11.F&amp;V Crop Production details'!H94</f>
        <v>0</v>
      </c>
    </row>
    <row r="34" spans="1:8">
      <c r="A34" s="93" t="str">
        <f>'11.F&amp;V Crop Production details'!A95</f>
        <v>Pomegranate</v>
      </c>
      <c r="B34" s="93">
        <f>'11.F&amp;V Crop Production details'!B95</f>
        <v>0</v>
      </c>
      <c r="C34" s="93">
        <f>'11.F&amp;V Crop Production details'!C95</f>
        <v>0</v>
      </c>
      <c r="D34" s="93">
        <f>'11.F&amp;V Crop Production details'!D95</f>
        <v>0</v>
      </c>
      <c r="E34" s="93">
        <f>'11.F&amp;V Crop Production details'!E95</f>
        <v>0</v>
      </c>
      <c r="F34" s="93">
        <f>'11.F&amp;V Crop Production details'!F95</f>
        <v>0</v>
      </c>
      <c r="G34" s="93">
        <f>'11.F&amp;V Crop Production details'!G95</f>
        <v>0</v>
      </c>
      <c r="H34" s="93">
        <f>'11.F&amp;V Crop Production details'!H95</f>
        <v>0</v>
      </c>
    </row>
    <row r="35" spans="1:8">
      <c r="A35" s="93" t="str">
        <f>'11.F&amp;V Crop Production details'!A96</f>
        <v>Custard Apple</v>
      </c>
      <c r="B35" s="93">
        <f>'11.F&amp;V Crop Production details'!B96</f>
        <v>0</v>
      </c>
      <c r="C35" s="93">
        <f>'11.F&amp;V Crop Production details'!C96</f>
        <v>0</v>
      </c>
      <c r="D35" s="93">
        <f>'11.F&amp;V Crop Production details'!D96</f>
        <v>0</v>
      </c>
      <c r="E35" s="93">
        <f>'11.F&amp;V Crop Production details'!E96</f>
        <v>0</v>
      </c>
      <c r="F35" s="93">
        <f>'11.F&amp;V Crop Production details'!F96</f>
        <v>0</v>
      </c>
      <c r="G35" s="93">
        <f>'11.F&amp;V Crop Production details'!G96</f>
        <v>0</v>
      </c>
      <c r="H35" s="93">
        <f>'11.F&amp;V Crop Production details'!H96</f>
        <v>0</v>
      </c>
    </row>
    <row r="36" spans="1:8">
      <c r="A36" s="93" t="str">
        <f>'11.F&amp;V Crop Production details'!A97</f>
        <v>Guava</v>
      </c>
      <c r="B36" s="93">
        <f>'11.F&amp;V Crop Production details'!B97</f>
        <v>0</v>
      </c>
      <c r="C36" s="93">
        <f>'11.F&amp;V Crop Production details'!C97</f>
        <v>0</v>
      </c>
      <c r="D36" s="93">
        <f>'11.F&amp;V Crop Production details'!D97</f>
        <v>0</v>
      </c>
      <c r="E36" s="93">
        <f>'11.F&amp;V Crop Production details'!E97</f>
        <v>0</v>
      </c>
      <c r="F36" s="93">
        <f>'11.F&amp;V Crop Production details'!F97</f>
        <v>0</v>
      </c>
      <c r="G36" s="93">
        <f>'11.F&amp;V Crop Production details'!G97</f>
        <v>0</v>
      </c>
      <c r="H36" s="93">
        <f>'11.F&amp;V Crop Production details'!H97</f>
        <v>0</v>
      </c>
    </row>
    <row r="37" spans="1:8">
      <c r="A37" s="93" t="str">
        <f>'11.F&amp;V Crop Production details'!A98</f>
        <v>Citrus</v>
      </c>
      <c r="B37" s="93">
        <f>'11.F&amp;V Crop Production details'!B98</f>
        <v>0</v>
      </c>
      <c r="C37" s="93">
        <f>'11.F&amp;V Crop Production details'!C98</f>
        <v>0</v>
      </c>
      <c r="D37" s="93">
        <f>'11.F&amp;V Crop Production details'!D98</f>
        <v>0</v>
      </c>
      <c r="E37" s="93">
        <f>'11.F&amp;V Crop Production details'!E98</f>
        <v>0</v>
      </c>
      <c r="F37" s="93">
        <f>'11.F&amp;V Crop Production details'!F98</f>
        <v>0</v>
      </c>
      <c r="G37" s="93">
        <f>'11.F&amp;V Crop Production details'!G98</f>
        <v>0</v>
      </c>
      <c r="H37" s="93">
        <f>'11.F&amp;V Crop Production details'!H98</f>
        <v>0</v>
      </c>
    </row>
    <row r="38" spans="1:8">
      <c r="A38" s="93"/>
      <c r="B38" s="93"/>
      <c r="C38" s="93"/>
      <c r="D38" s="93"/>
      <c r="E38" s="93"/>
      <c r="F38" s="93"/>
      <c r="G38" s="93"/>
      <c r="H38" s="93"/>
    </row>
    <row r="39" spans="1:8">
      <c r="A39" s="93" t="s">
        <v>463</v>
      </c>
      <c r="B39" s="93">
        <f>SUM(B13:B37)</f>
        <v>0</v>
      </c>
      <c r="C39" s="93">
        <f t="shared" ref="C39:H39" si="1">SUM(C13:C37)</f>
        <v>0</v>
      </c>
      <c r="D39" s="93">
        <f t="shared" si="1"/>
        <v>0</v>
      </c>
      <c r="E39" s="93">
        <f t="shared" si="1"/>
        <v>0</v>
      </c>
      <c r="F39" s="93">
        <f t="shared" si="1"/>
        <v>0</v>
      </c>
      <c r="G39" s="93">
        <f t="shared" si="1"/>
        <v>0</v>
      </c>
      <c r="H39" s="93">
        <f t="shared" si="1"/>
        <v>0</v>
      </c>
    </row>
    <row r="40" spans="1:8">
      <c r="A40" s="323" t="s">
        <v>166</v>
      </c>
      <c r="B40" s="278">
        <v>0</v>
      </c>
      <c r="C40" s="278">
        <f>B40</f>
        <v>0</v>
      </c>
      <c r="D40" s="278">
        <f t="shared" ref="D40:H40" si="2">C40</f>
        <v>0</v>
      </c>
      <c r="E40" s="278">
        <f t="shared" si="2"/>
        <v>0</v>
      </c>
      <c r="F40" s="278">
        <f t="shared" si="2"/>
        <v>0</v>
      </c>
      <c r="G40" s="278">
        <f t="shared" si="2"/>
        <v>0</v>
      </c>
      <c r="H40" s="278">
        <f t="shared" si="2"/>
        <v>0</v>
      </c>
    </row>
    <row r="41" spans="1:8">
      <c r="A41" s="97" t="s">
        <v>473</v>
      </c>
      <c r="B41" s="324">
        <f>1-B40</f>
        <v>1</v>
      </c>
      <c r="C41" s="324">
        <f t="shared" ref="C41:H41" si="3">1-C40</f>
        <v>1</v>
      </c>
      <c r="D41" s="324">
        <f t="shared" si="3"/>
        <v>1</v>
      </c>
      <c r="E41" s="324">
        <f t="shared" si="3"/>
        <v>1</v>
      </c>
      <c r="F41" s="324">
        <f t="shared" si="3"/>
        <v>1</v>
      </c>
      <c r="G41" s="324">
        <f t="shared" si="3"/>
        <v>1</v>
      </c>
      <c r="H41" s="324">
        <f t="shared" si="3"/>
        <v>1</v>
      </c>
    </row>
    <row r="42" spans="1:8">
      <c r="A42" s="95" t="s">
        <v>166</v>
      </c>
      <c r="B42" s="258">
        <f>B39*B40</f>
        <v>0</v>
      </c>
      <c r="C42" s="258">
        <f t="shared" ref="C42:H42" si="4">C39*C40</f>
        <v>0</v>
      </c>
      <c r="D42" s="258">
        <f t="shared" si="4"/>
        <v>0</v>
      </c>
      <c r="E42" s="258">
        <f t="shared" si="4"/>
        <v>0</v>
      </c>
      <c r="F42" s="258">
        <f t="shared" si="4"/>
        <v>0</v>
      </c>
      <c r="G42" s="258">
        <f t="shared" si="4"/>
        <v>0</v>
      </c>
      <c r="H42" s="258">
        <f t="shared" si="4"/>
        <v>0</v>
      </c>
    </row>
    <row r="43" spans="1:8">
      <c r="A43" s="95" t="s">
        <v>167</v>
      </c>
      <c r="B43" s="113"/>
      <c r="C43" s="113"/>
      <c r="D43" s="113"/>
      <c r="E43" s="113"/>
      <c r="F43" s="113"/>
      <c r="G43" s="113"/>
      <c r="H43" s="113"/>
    </row>
    <row r="44" spans="1:8">
      <c r="A44" s="93" t="str">
        <f t="shared" ref="A44:A61" si="5">A13</f>
        <v>Onion</v>
      </c>
      <c r="B44" s="94">
        <f t="shared" ref="B44:B61" si="6">B13*$B$41</f>
        <v>0</v>
      </c>
      <c r="C44" s="94">
        <f t="shared" ref="C44:C61" si="7">C13*$C$41</f>
        <v>0</v>
      </c>
      <c r="D44" s="94">
        <f t="shared" ref="D44:D61" si="8">D13*$D$41</f>
        <v>0</v>
      </c>
      <c r="E44" s="94">
        <f t="shared" ref="E44:E61" si="9">E13*$E$41</f>
        <v>0</v>
      </c>
      <c r="F44" s="94">
        <f t="shared" ref="F44:F61" si="10">F13*$F$41</f>
        <v>0</v>
      </c>
      <c r="G44" s="94">
        <f t="shared" ref="G44:G61" si="11">G13*$G$41</f>
        <v>0</v>
      </c>
      <c r="H44" s="94">
        <f t="shared" ref="H44:H61" si="12">H13*$H$41</f>
        <v>0</v>
      </c>
    </row>
    <row r="45" spans="1:8">
      <c r="A45" s="93" t="str">
        <f t="shared" si="5"/>
        <v>Tomato</v>
      </c>
      <c r="B45" s="94">
        <f t="shared" si="6"/>
        <v>0</v>
      </c>
      <c r="C45" s="94">
        <f t="shared" si="7"/>
        <v>0</v>
      </c>
      <c r="D45" s="94">
        <f t="shared" si="8"/>
        <v>0</v>
      </c>
      <c r="E45" s="94">
        <f t="shared" si="9"/>
        <v>0</v>
      </c>
      <c r="F45" s="94">
        <f t="shared" si="10"/>
        <v>0</v>
      </c>
      <c r="G45" s="94">
        <f t="shared" si="11"/>
        <v>0</v>
      </c>
      <c r="H45" s="94">
        <f t="shared" si="12"/>
        <v>0</v>
      </c>
    </row>
    <row r="46" spans="1:8">
      <c r="A46" s="93" t="str">
        <f t="shared" si="5"/>
        <v>Okra</v>
      </c>
      <c r="B46" s="94">
        <f t="shared" si="6"/>
        <v>0</v>
      </c>
      <c r="C46" s="94">
        <f t="shared" si="7"/>
        <v>0</v>
      </c>
      <c r="D46" s="94">
        <f t="shared" si="8"/>
        <v>0</v>
      </c>
      <c r="E46" s="94">
        <f t="shared" si="9"/>
        <v>0</v>
      </c>
      <c r="F46" s="94">
        <f t="shared" si="10"/>
        <v>0</v>
      </c>
      <c r="G46" s="94">
        <f t="shared" si="11"/>
        <v>0</v>
      </c>
      <c r="H46" s="94">
        <f t="shared" si="12"/>
        <v>0</v>
      </c>
    </row>
    <row r="47" spans="1:8">
      <c r="A47" s="93" t="str">
        <f t="shared" si="5"/>
        <v>Chilli</v>
      </c>
      <c r="B47" s="94">
        <f t="shared" si="6"/>
        <v>0</v>
      </c>
      <c r="C47" s="94">
        <f t="shared" si="7"/>
        <v>0</v>
      </c>
      <c r="D47" s="94">
        <f t="shared" si="8"/>
        <v>0</v>
      </c>
      <c r="E47" s="94">
        <f t="shared" si="9"/>
        <v>0</v>
      </c>
      <c r="F47" s="94">
        <f t="shared" si="10"/>
        <v>0</v>
      </c>
      <c r="G47" s="94">
        <f t="shared" si="11"/>
        <v>0</v>
      </c>
      <c r="H47" s="94">
        <f t="shared" si="12"/>
        <v>0</v>
      </c>
    </row>
    <row r="48" spans="1:8">
      <c r="A48" s="93" t="str">
        <f t="shared" si="5"/>
        <v>Potato</v>
      </c>
      <c r="B48" s="94">
        <f t="shared" si="6"/>
        <v>0</v>
      </c>
      <c r="C48" s="94">
        <f t="shared" si="7"/>
        <v>0</v>
      </c>
      <c r="D48" s="94">
        <f t="shared" si="8"/>
        <v>0</v>
      </c>
      <c r="E48" s="94">
        <f t="shared" si="9"/>
        <v>0</v>
      </c>
      <c r="F48" s="94">
        <f t="shared" si="10"/>
        <v>0</v>
      </c>
      <c r="G48" s="94">
        <f t="shared" si="11"/>
        <v>0</v>
      </c>
      <c r="H48" s="94">
        <f t="shared" si="12"/>
        <v>0</v>
      </c>
    </row>
    <row r="49" spans="1:8">
      <c r="A49" s="93">
        <f t="shared" si="5"/>
        <v>0</v>
      </c>
      <c r="B49" s="94">
        <f t="shared" si="6"/>
        <v>0</v>
      </c>
      <c r="C49" s="94">
        <f t="shared" si="7"/>
        <v>0</v>
      </c>
      <c r="D49" s="94">
        <f t="shared" si="8"/>
        <v>0</v>
      </c>
      <c r="E49" s="94">
        <f t="shared" si="9"/>
        <v>0</v>
      </c>
      <c r="F49" s="94">
        <f t="shared" si="10"/>
        <v>0</v>
      </c>
      <c r="G49" s="94">
        <f t="shared" si="11"/>
        <v>0</v>
      </c>
      <c r="H49" s="94">
        <f t="shared" si="12"/>
        <v>0</v>
      </c>
    </row>
    <row r="50" spans="1:8">
      <c r="A50" s="93">
        <f t="shared" si="5"/>
        <v>0</v>
      </c>
      <c r="B50" s="94">
        <f t="shared" si="6"/>
        <v>0</v>
      </c>
      <c r="C50" s="94">
        <f t="shared" si="7"/>
        <v>0</v>
      </c>
      <c r="D50" s="94">
        <f t="shared" si="8"/>
        <v>0</v>
      </c>
      <c r="E50" s="94">
        <f t="shared" si="9"/>
        <v>0</v>
      </c>
      <c r="F50" s="94">
        <f t="shared" si="10"/>
        <v>0</v>
      </c>
      <c r="G50" s="94">
        <f t="shared" si="11"/>
        <v>0</v>
      </c>
      <c r="H50" s="94">
        <f t="shared" si="12"/>
        <v>0</v>
      </c>
    </row>
    <row r="51" spans="1:8">
      <c r="A51" s="93">
        <f t="shared" si="5"/>
        <v>0</v>
      </c>
      <c r="B51" s="94">
        <f t="shared" si="6"/>
        <v>0</v>
      </c>
      <c r="C51" s="94">
        <f t="shared" si="7"/>
        <v>0</v>
      </c>
      <c r="D51" s="94">
        <f t="shared" si="8"/>
        <v>0</v>
      </c>
      <c r="E51" s="94">
        <f t="shared" si="9"/>
        <v>0</v>
      </c>
      <c r="F51" s="94">
        <f t="shared" si="10"/>
        <v>0</v>
      </c>
      <c r="G51" s="94">
        <f t="shared" si="11"/>
        <v>0</v>
      </c>
      <c r="H51" s="94">
        <f t="shared" si="12"/>
        <v>0</v>
      </c>
    </row>
    <row r="52" spans="1:8">
      <c r="A52" s="93">
        <f t="shared" si="5"/>
        <v>0</v>
      </c>
      <c r="B52" s="94">
        <f t="shared" si="6"/>
        <v>0</v>
      </c>
      <c r="C52" s="94">
        <f t="shared" si="7"/>
        <v>0</v>
      </c>
      <c r="D52" s="94">
        <f t="shared" si="8"/>
        <v>0</v>
      </c>
      <c r="E52" s="94">
        <f t="shared" si="9"/>
        <v>0</v>
      </c>
      <c r="F52" s="94">
        <f t="shared" si="10"/>
        <v>0</v>
      </c>
      <c r="G52" s="94">
        <f t="shared" si="11"/>
        <v>0</v>
      </c>
      <c r="H52" s="94">
        <f t="shared" si="12"/>
        <v>0</v>
      </c>
    </row>
    <row r="53" spans="1:8">
      <c r="A53" s="93" t="str">
        <f t="shared" si="5"/>
        <v>Onion</v>
      </c>
      <c r="B53" s="94">
        <f t="shared" si="6"/>
        <v>0</v>
      </c>
      <c r="C53" s="94">
        <f t="shared" si="7"/>
        <v>0</v>
      </c>
      <c r="D53" s="94">
        <f t="shared" si="8"/>
        <v>0</v>
      </c>
      <c r="E53" s="94">
        <f t="shared" si="9"/>
        <v>0</v>
      </c>
      <c r="F53" s="94">
        <f t="shared" si="10"/>
        <v>0</v>
      </c>
      <c r="G53" s="94">
        <f t="shared" si="11"/>
        <v>0</v>
      </c>
      <c r="H53" s="94">
        <f t="shared" si="12"/>
        <v>0</v>
      </c>
    </row>
    <row r="54" spans="1:8">
      <c r="A54" s="93" t="str">
        <f t="shared" si="5"/>
        <v>Tomato</v>
      </c>
      <c r="B54" s="94">
        <f t="shared" si="6"/>
        <v>0</v>
      </c>
      <c r="C54" s="94">
        <f t="shared" si="7"/>
        <v>0</v>
      </c>
      <c r="D54" s="94">
        <f t="shared" si="8"/>
        <v>0</v>
      </c>
      <c r="E54" s="94">
        <f t="shared" si="9"/>
        <v>0</v>
      </c>
      <c r="F54" s="94">
        <f t="shared" si="10"/>
        <v>0</v>
      </c>
      <c r="G54" s="94">
        <f t="shared" si="11"/>
        <v>0</v>
      </c>
      <c r="H54" s="94">
        <f t="shared" si="12"/>
        <v>0</v>
      </c>
    </row>
    <row r="55" spans="1:8">
      <c r="A55" s="93" t="str">
        <f t="shared" si="5"/>
        <v>Okra</v>
      </c>
      <c r="B55" s="94">
        <f t="shared" si="6"/>
        <v>0</v>
      </c>
      <c r="C55" s="94">
        <f t="shared" si="7"/>
        <v>0</v>
      </c>
      <c r="D55" s="94">
        <f t="shared" si="8"/>
        <v>0</v>
      </c>
      <c r="E55" s="94">
        <f t="shared" si="9"/>
        <v>0</v>
      </c>
      <c r="F55" s="94">
        <f t="shared" si="10"/>
        <v>0</v>
      </c>
      <c r="G55" s="94">
        <f t="shared" si="11"/>
        <v>0</v>
      </c>
      <c r="H55" s="94">
        <f t="shared" si="12"/>
        <v>0</v>
      </c>
    </row>
    <row r="56" spans="1:8">
      <c r="A56" s="93" t="str">
        <f t="shared" si="5"/>
        <v>Chilli</v>
      </c>
      <c r="B56" s="94">
        <f t="shared" si="6"/>
        <v>0</v>
      </c>
      <c r="C56" s="94">
        <f t="shared" si="7"/>
        <v>0</v>
      </c>
      <c r="D56" s="94">
        <f t="shared" si="8"/>
        <v>0</v>
      </c>
      <c r="E56" s="94">
        <f t="shared" si="9"/>
        <v>0</v>
      </c>
      <c r="F56" s="94">
        <f t="shared" si="10"/>
        <v>0</v>
      </c>
      <c r="G56" s="94">
        <f t="shared" si="11"/>
        <v>0</v>
      </c>
      <c r="H56" s="94">
        <f t="shared" si="12"/>
        <v>0</v>
      </c>
    </row>
    <row r="57" spans="1:8">
      <c r="A57" s="93" t="str">
        <f t="shared" si="5"/>
        <v>Brinjal</v>
      </c>
      <c r="B57" s="94">
        <f t="shared" si="6"/>
        <v>0</v>
      </c>
      <c r="C57" s="94">
        <f t="shared" si="7"/>
        <v>0</v>
      </c>
      <c r="D57" s="94">
        <f t="shared" si="8"/>
        <v>0</v>
      </c>
      <c r="E57" s="94">
        <f t="shared" si="9"/>
        <v>0</v>
      </c>
      <c r="F57" s="94">
        <f t="shared" si="10"/>
        <v>0</v>
      </c>
      <c r="G57" s="94">
        <f t="shared" si="11"/>
        <v>0</v>
      </c>
      <c r="H57" s="94">
        <f t="shared" si="12"/>
        <v>0</v>
      </c>
    </row>
    <row r="58" spans="1:8">
      <c r="A58" s="93">
        <f t="shared" si="5"/>
        <v>0</v>
      </c>
      <c r="B58" s="94">
        <f t="shared" si="6"/>
        <v>0</v>
      </c>
      <c r="C58" s="94">
        <f t="shared" si="7"/>
        <v>0</v>
      </c>
      <c r="D58" s="94">
        <f t="shared" si="8"/>
        <v>0</v>
      </c>
      <c r="E58" s="94">
        <f t="shared" si="9"/>
        <v>0</v>
      </c>
      <c r="F58" s="94">
        <f t="shared" si="10"/>
        <v>0</v>
      </c>
      <c r="G58" s="94">
        <f t="shared" si="11"/>
        <v>0</v>
      </c>
      <c r="H58" s="94">
        <f t="shared" si="12"/>
        <v>0</v>
      </c>
    </row>
    <row r="59" spans="1:8">
      <c r="A59" s="93">
        <f t="shared" si="5"/>
        <v>0</v>
      </c>
      <c r="B59" s="94">
        <f t="shared" si="6"/>
        <v>0</v>
      </c>
      <c r="C59" s="94">
        <f t="shared" si="7"/>
        <v>0</v>
      </c>
      <c r="D59" s="94">
        <f t="shared" si="8"/>
        <v>0</v>
      </c>
      <c r="E59" s="94">
        <f t="shared" si="9"/>
        <v>0</v>
      </c>
      <c r="F59" s="94">
        <f t="shared" si="10"/>
        <v>0</v>
      </c>
      <c r="G59" s="94">
        <f t="shared" si="11"/>
        <v>0</v>
      </c>
      <c r="H59" s="94">
        <f t="shared" si="12"/>
        <v>0</v>
      </c>
    </row>
    <row r="60" spans="1:8">
      <c r="A60" s="93">
        <f t="shared" si="5"/>
        <v>0</v>
      </c>
      <c r="B60" s="94">
        <f t="shared" si="6"/>
        <v>0</v>
      </c>
      <c r="C60" s="94">
        <f t="shared" si="7"/>
        <v>0</v>
      </c>
      <c r="D60" s="94">
        <f t="shared" si="8"/>
        <v>0</v>
      </c>
      <c r="E60" s="94">
        <f t="shared" si="9"/>
        <v>0</v>
      </c>
      <c r="F60" s="94">
        <f t="shared" si="10"/>
        <v>0</v>
      </c>
      <c r="G60" s="94">
        <f t="shared" si="11"/>
        <v>0</v>
      </c>
      <c r="H60" s="94">
        <f t="shared" si="12"/>
        <v>0</v>
      </c>
    </row>
    <row r="61" spans="1:8">
      <c r="A61" s="93">
        <f t="shared" si="5"/>
        <v>0</v>
      </c>
      <c r="B61" s="94">
        <f t="shared" si="6"/>
        <v>0</v>
      </c>
      <c r="C61" s="94">
        <f t="shared" si="7"/>
        <v>0</v>
      </c>
      <c r="D61" s="94">
        <f t="shared" si="8"/>
        <v>0</v>
      </c>
      <c r="E61" s="94">
        <f t="shared" si="9"/>
        <v>0</v>
      </c>
      <c r="F61" s="94">
        <f t="shared" si="10"/>
        <v>0</v>
      </c>
      <c r="G61" s="94">
        <f t="shared" si="11"/>
        <v>0</v>
      </c>
      <c r="H61" s="94">
        <f t="shared" si="12"/>
        <v>0</v>
      </c>
    </row>
    <row r="62" spans="1:8">
      <c r="A62" s="93" t="str">
        <f t="shared" ref="A62" si="13">A34</f>
        <v>Pomegranate</v>
      </c>
      <c r="B62" s="94">
        <f>B34*$B$41</f>
        <v>0</v>
      </c>
      <c r="C62" s="94">
        <f t="shared" ref="C62:H62" si="14">C34*$B$41</f>
        <v>0</v>
      </c>
      <c r="D62" s="94">
        <f t="shared" si="14"/>
        <v>0</v>
      </c>
      <c r="E62" s="94">
        <f t="shared" si="14"/>
        <v>0</v>
      </c>
      <c r="F62" s="94">
        <f t="shared" si="14"/>
        <v>0</v>
      </c>
      <c r="G62" s="94">
        <f t="shared" si="14"/>
        <v>0</v>
      </c>
      <c r="H62" s="94">
        <f t="shared" si="14"/>
        <v>0</v>
      </c>
    </row>
    <row r="63" spans="1:8">
      <c r="A63" s="93" t="str">
        <f>A35</f>
        <v>Custard Apple</v>
      </c>
      <c r="B63" s="94">
        <f t="shared" ref="B63:H63" si="15">B35*$B$41</f>
        <v>0</v>
      </c>
      <c r="C63" s="94">
        <f t="shared" si="15"/>
        <v>0</v>
      </c>
      <c r="D63" s="94">
        <f t="shared" si="15"/>
        <v>0</v>
      </c>
      <c r="E63" s="94">
        <f t="shared" si="15"/>
        <v>0</v>
      </c>
      <c r="F63" s="94">
        <f t="shared" si="15"/>
        <v>0</v>
      </c>
      <c r="G63" s="94">
        <f t="shared" si="15"/>
        <v>0</v>
      </c>
      <c r="H63" s="94">
        <f t="shared" si="15"/>
        <v>0</v>
      </c>
    </row>
    <row r="64" spans="1:8">
      <c r="A64" s="93" t="str">
        <f>A36</f>
        <v>Guava</v>
      </c>
      <c r="B64" s="94">
        <f t="shared" ref="B64:H65" si="16">B36*$B$41</f>
        <v>0</v>
      </c>
      <c r="C64" s="94">
        <f t="shared" si="16"/>
        <v>0</v>
      </c>
      <c r="D64" s="94">
        <f t="shared" si="16"/>
        <v>0</v>
      </c>
      <c r="E64" s="94">
        <f t="shared" si="16"/>
        <v>0</v>
      </c>
      <c r="F64" s="94">
        <f t="shared" si="16"/>
        <v>0</v>
      </c>
      <c r="G64" s="94">
        <f t="shared" si="16"/>
        <v>0</v>
      </c>
      <c r="H64" s="94">
        <f t="shared" si="16"/>
        <v>0</v>
      </c>
    </row>
    <row r="65" spans="1:8">
      <c r="A65" s="93" t="str">
        <f>A37</f>
        <v>Citrus</v>
      </c>
      <c r="B65" s="94">
        <f t="shared" si="16"/>
        <v>0</v>
      </c>
      <c r="C65" s="94">
        <f t="shared" si="16"/>
        <v>0</v>
      </c>
      <c r="D65" s="94">
        <f t="shared" si="16"/>
        <v>0</v>
      </c>
      <c r="E65" s="94">
        <f t="shared" si="16"/>
        <v>0</v>
      </c>
      <c r="F65" s="94">
        <f t="shared" si="16"/>
        <v>0</v>
      </c>
      <c r="G65" s="94">
        <f t="shared" si="16"/>
        <v>0</v>
      </c>
      <c r="H65" s="94">
        <f t="shared" si="16"/>
        <v>0</v>
      </c>
    </row>
    <row r="66" spans="1:8">
      <c r="A66" s="95" t="s">
        <v>286</v>
      </c>
      <c r="B66" s="93"/>
      <c r="C66" s="93"/>
      <c r="D66" s="93"/>
      <c r="E66" s="93"/>
      <c r="F66" s="93"/>
      <c r="G66" s="93"/>
      <c r="H66" s="93"/>
    </row>
    <row r="67" spans="1:8">
      <c r="A67" s="93" t="str">
        <f>A44</f>
        <v>Onion</v>
      </c>
      <c r="B67" s="188"/>
      <c r="C67" s="188"/>
      <c r="D67" s="188"/>
      <c r="E67" s="188"/>
      <c r="F67" s="188"/>
      <c r="G67" s="188"/>
      <c r="H67" s="188"/>
    </row>
    <row r="68" spans="1:8">
      <c r="A68" s="93"/>
      <c r="B68" s="188"/>
      <c r="C68" s="188"/>
      <c r="D68" s="188"/>
      <c r="E68" s="188"/>
      <c r="F68" s="188"/>
      <c r="G68" s="188"/>
      <c r="H68" s="188"/>
    </row>
    <row r="69" spans="1:8">
      <c r="A69" s="93"/>
      <c r="B69" s="188"/>
      <c r="C69" s="188"/>
      <c r="D69" s="188"/>
      <c r="E69" s="188"/>
      <c r="F69" s="188"/>
      <c r="G69" s="188"/>
      <c r="H69" s="188"/>
    </row>
    <row r="70" spans="1:8">
      <c r="A70" s="93"/>
      <c r="B70" s="188"/>
      <c r="C70" s="188"/>
      <c r="D70" s="188"/>
      <c r="E70" s="188"/>
      <c r="F70" s="188"/>
      <c r="G70" s="188"/>
      <c r="H70" s="188"/>
    </row>
    <row r="71" spans="1:8">
      <c r="A71" s="93" t="str">
        <f>A45</f>
        <v>Tomato</v>
      </c>
      <c r="B71" s="94"/>
      <c r="C71" s="94"/>
      <c r="D71" s="94"/>
      <c r="E71" s="94"/>
      <c r="F71" s="94"/>
      <c r="G71" s="94"/>
      <c r="H71" s="94"/>
    </row>
    <row r="72" spans="1:8">
      <c r="A72" s="93"/>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t="str">
        <f>A46</f>
        <v>Okra</v>
      </c>
      <c r="B75" s="94"/>
      <c r="C75" s="94"/>
      <c r="D75" s="94"/>
      <c r="E75" s="94"/>
      <c r="F75" s="94"/>
      <c r="G75" s="94"/>
      <c r="H75" s="94"/>
    </row>
    <row r="76" spans="1:8">
      <c r="A76" s="93"/>
      <c r="B76" s="94"/>
      <c r="C76" s="94"/>
      <c r="D76" s="94"/>
      <c r="E76" s="94"/>
      <c r="F76" s="94"/>
      <c r="G76" s="94"/>
      <c r="H76" s="94"/>
    </row>
    <row r="77" spans="1:8">
      <c r="A77" s="93"/>
      <c r="B77" s="94"/>
      <c r="C77" s="94"/>
      <c r="D77" s="94"/>
      <c r="E77" s="94"/>
      <c r="F77" s="94"/>
      <c r="G77" s="94"/>
      <c r="H77" s="94"/>
    </row>
    <row r="78" spans="1:8">
      <c r="A78" s="93"/>
      <c r="B78" s="94"/>
      <c r="C78" s="94"/>
      <c r="D78" s="94"/>
      <c r="E78" s="94"/>
      <c r="F78" s="94"/>
      <c r="G78" s="94"/>
      <c r="H78" s="94"/>
    </row>
    <row r="79" spans="1:8">
      <c r="A79" s="93" t="str">
        <f>A47</f>
        <v>Chilli</v>
      </c>
      <c r="B79" s="94"/>
      <c r="C79" s="94"/>
      <c r="D79" s="94"/>
      <c r="E79" s="94"/>
      <c r="F79" s="94"/>
      <c r="G79" s="94"/>
      <c r="H79" s="94"/>
    </row>
    <row r="80" spans="1:8">
      <c r="A80" s="93"/>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A48</f>
        <v>Potato</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f>A49</f>
        <v>0</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f>A50</f>
        <v>0</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f>A51</f>
        <v>0</v>
      </c>
      <c r="B94" s="94"/>
      <c r="C94" s="94"/>
      <c r="D94" s="94"/>
      <c r="E94" s="94"/>
      <c r="F94" s="94"/>
      <c r="G94" s="94"/>
      <c r="H94" s="94"/>
    </row>
    <row r="95" spans="1:8">
      <c r="A95" s="93"/>
      <c r="B95" s="94"/>
      <c r="C95" s="94"/>
      <c r="D95" s="94"/>
      <c r="E95" s="94"/>
      <c r="F95" s="94"/>
      <c r="G95" s="94"/>
      <c r="H95" s="94"/>
    </row>
    <row r="96" spans="1:8">
      <c r="A96" s="93"/>
      <c r="B96" s="94"/>
      <c r="C96" s="94"/>
      <c r="D96" s="94"/>
      <c r="E96" s="94"/>
      <c r="F96" s="94"/>
      <c r="G96" s="94"/>
      <c r="H96" s="94"/>
    </row>
    <row r="97" spans="1:8">
      <c r="A97" s="93"/>
      <c r="B97" s="94"/>
      <c r="C97" s="94"/>
      <c r="D97" s="94"/>
      <c r="E97" s="94"/>
      <c r="F97" s="94"/>
      <c r="G97" s="94"/>
      <c r="H97" s="94"/>
    </row>
    <row r="98" spans="1:8">
      <c r="A98" s="93">
        <f>A52</f>
        <v>0</v>
      </c>
      <c r="B98" s="94"/>
      <c r="C98" s="94"/>
      <c r="D98" s="94"/>
      <c r="E98" s="94"/>
      <c r="F98" s="94"/>
      <c r="G98" s="94"/>
      <c r="H98" s="94"/>
    </row>
    <row r="99" spans="1:8">
      <c r="A99" s="93"/>
      <c r="B99" s="94"/>
      <c r="C99" s="94"/>
      <c r="D99" s="94"/>
      <c r="E99" s="94"/>
      <c r="F99" s="94"/>
      <c r="G99" s="94"/>
      <c r="H99" s="94"/>
    </row>
    <row r="100" spans="1:8">
      <c r="A100" s="93"/>
      <c r="B100" s="94"/>
      <c r="C100" s="94"/>
      <c r="D100" s="94"/>
      <c r="E100" s="94"/>
      <c r="F100" s="94"/>
      <c r="G100" s="94"/>
      <c r="H100" s="94"/>
    </row>
    <row r="101" spans="1:8">
      <c r="A101" s="93"/>
      <c r="B101" s="94"/>
      <c r="C101" s="94"/>
      <c r="D101" s="94"/>
      <c r="E101" s="94"/>
      <c r="F101" s="94"/>
      <c r="G101" s="94"/>
      <c r="H101" s="94"/>
    </row>
    <row r="102" spans="1:8">
      <c r="A102" s="93" t="str">
        <f>A53</f>
        <v>Onion</v>
      </c>
      <c r="B102" s="94"/>
      <c r="C102" s="94"/>
      <c r="D102" s="94"/>
      <c r="E102" s="94"/>
      <c r="F102" s="94"/>
      <c r="G102" s="94"/>
      <c r="H102" s="94"/>
    </row>
    <row r="103" spans="1:8">
      <c r="A103" s="93"/>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t="str">
        <f>A54</f>
        <v>Tomato</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c r="B109" s="94"/>
      <c r="C109" s="94"/>
      <c r="D109" s="94"/>
      <c r="E109" s="94"/>
      <c r="F109" s="94"/>
      <c r="G109" s="94"/>
      <c r="H109" s="94"/>
    </row>
    <row r="110" spans="1:8">
      <c r="A110" s="93" t="str">
        <f>A55</f>
        <v>Okra</v>
      </c>
      <c r="B110" s="94"/>
      <c r="C110" s="94"/>
      <c r="D110" s="94"/>
      <c r="E110" s="94"/>
      <c r="F110" s="94"/>
      <c r="G110" s="94"/>
      <c r="H110" s="94"/>
    </row>
    <row r="111" spans="1:8">
      <c r="A111" s="93"/>
      <c r="B111" s="94"/>
      <c r="C111" s="94"/>
      <c r="D111" s="94"/>
      <c r="E111" s="94"/>
      <c r="F111" s="94"/>
      <c r="G111" s="94"/>
      <c r="H111" s="94"/>
    </row>
    <row r="112" spans="1:8">
      <c r="A112" s="93"/>
      <c r="B112" s="94"/>
      <c r="C112" s="94"/>
      <c r="D112" s="94"/>
      <c r="E112" s="94"/>
      <c r="F112" s="94"/>
      <c r="G112" s="94"/>
      <c r="H112" s="94"/>
    </row>
    <row r="113" spans="1:8">
      <c r="A113" s="93"/>
      <c r="B113" s="94"/>
      <c r="C113" s="94"/>
      <c r="D113" s="94"/>
      <c r="E113" s="94"/>
      <c r="F113" s="94"/>
      <c r="G113" s="94"/>
      <c r="H113" s="94"/>
    </row>
    <row r="114" spans="1:8">
      <c r="A114" s="93" t="str">
        <f>A56</f>
        <v>Chilli</v>
      </c>
      <c r="B114" s="94"/>
      <c r="C114" s="94"/>
      <c r="D114" s="94"/>
      <c r="E114" s="94"/>
      <c r="F114" s="94"/>
      <c r="G114" s="94"/>
      <c r="H114" s="94"/>
    </row>
    <row r="115" spans="1:8">
      <c r="A115" s="93"/>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5" t="str">
        <f t="shared" ref="A118:A123" si="17">A57</f>
        <v>Brinjal</v>
      </c>
      <c r="B118" s="94"/>
      <c r="C118" s="94"/>
      <c r="D118" s="94"/>
      <c r="E118" s="94"/>
      <c r="F118" s="94"/>
      <c r="G118" s="94"/>
      <c r="H118" s="94"/>
    </row>
    <row r="119" spans="1:8">
      <c r="A119" s="93">
        <f t="shared" si="17"/>
        <v>0</v>
      </c>
      <c r="B119" s="94"/>
      <c r="C119" s="94"/>
      <c r="D119" s="94"/>
      <c r="E119" s="94"/>
      <c r="F119" s="94"/>
      <c r="G119" s="94"/>
      <c r="H119" s="94"/>
    </row>
    <row r="120" spans="1:8">
      <c r="A120" s="93">
        <f t="shared" si="17"/>
        <v>0</v>
      </c>
      <c r="B120" s="94"/>
      <c r="C120" s="94"/>
      <c r="D120" s="94"/>
      <c r="E120" s="94"/>
      <c r="F120" s="94"/>
      <c r="G120" s="94"/>
      <c r="H120" s="94"/>
    </row>
    <row r="121" spans="1:8">
      <c r="A121" s="93">
        <f t="shared" si="17"/>
        <v>0</v>
      </c>
      <c r="B121" s="94"/>
      <c r="C121" s="94"/>
      <c r="D121" s="94"/>
      <c r="E121" s="94"/>
      <c r="F121" s="94"/>
      <c r="G121" s="94"/>
      <c r="H121" s="94"/>
    </row>
    <row r="122" spans="1:8">
      <c r="A122" s="93">
        <f t="shared" si="17"/>
        <v>0</v>
      </c>
      <c r="B122" s="94"/>
      <c r="C122" s="94"/>
      <c r="D122" s="94"/>
      <c r="E122" s="94"/>
      <c r="F122" s="94"/>
      <c r="G122" s="94"/>
      <c r="H122" s="94"/>
    </row>
    <row r="123" spans="1:8">
      <c r="A123" s="95" t="str">
        <f t="shared" si="17"/>
        <v>Pomegranate</v>
      </c>
      <c r="B123" s="94"/>
      <c r="C123" s="94"/>
      <c r="D123" s="94"/>
      <c r="E123" s="94"/>
      <c r="F123" s="94"/>
      <c r="G123" s="94"/>
      <c r="H123" s="94"/>
    </row>
    <row r="124" spans="1:8">
      <c r="A124" s="93" t="s">
        <v>528</v>
      </c>
      <c r="B124" s="94">
        <f>(B$62*50%)*0.7</f>
        <v>0</v>
      </c>
      <c r="C124" s="94">
        <f>(C$62*50%)*0.7</f>
        <v>0</v>
      </c>
      <c r="D124" s="94">
        <f t="shared" ref="D124:H126" si="18">(D$62*50%)*0.7</f>
        <v>0</v>
      </c>
      <c r="E124" s="94">
        <f t="shared" si="18"/>
        <v>0</v>
      </c>
      <c r="F124" s="94">
        <f t="shared" si="18"/>
        <v>0</v>
      </c>
      <c r="G124" s="94">
        <f t="shared" si="18"/>
        <v>0</v>
      </c>
      <c r="H124" s="94">
        <f t="shared" si="18"/>
        <v>0</v>
      </c>
    </row>
    <row r="125" spans="1:8">
      <c r="A125" s="93" t="s">
        <v>526</v>
      </c>
      <c r="B125" s="94">
        <f>(B$62*50%)*0.7*2</f>
        <v>0</v>
      </c>
      <c r="C125" s="94">
        <f>(C$62*50%)*0.7</f>
        <v>0</v>
      </c>
      <c r="D125" s="94">
        <f t="shared" si="18"/>
        <v>0</v>
      </c>
      <c r="E125" s="94">
        <f t="shared" si="18"/>
        <v>0</v>
      </c>
      <c r="F125" s="94">
        <f t="shared" si="18"/>
        <v>0</v>
      </c>
      <c r="G125" s="94">
        <f t="shared" si="18"/>
        <v>0</v>
      </c>
      <c r="H125" s="94">
        <f t="shared" si="18"/>
        <v>0</v>
      </c>
    </row>
    <row r="126" spans="1:8">
      <c r="A126" s="93" t="s">
        <v>527</v>
      </c>
      <c r="B126" s="94">
        <f>(B$62*0.3)*0.2</f>
        <v>0</v>
      </c>
      <c r="C126" s="94">
        <f>(C$62*50%)*0.7</f>
        <v>0</v>
      </c>
      <c r="D126" s="94">
        <f t="shared" si="18"/>
        <v>0</v>
      </c>
      <c r="E126" s="94">
        <f t="shared" si="18"/>
        <v>0</v>
      </c>
      <c r="F126" s="94">
        <f t="shared" si="18"/>
        <v>0</v>
      </c>
      <c r="G126" s="94">
        <f t="shared" si="18"/>
        <v>0</v>
      </c>
      <c r="H126" s="94">
        <f t="shared" si="18"/>
        <v>0</v>
      </c>
    </row>
    <row r="127" spans="1:8">
      <c r="A127" s="93" t="str">
        <f t="shared" ref="A127" si="19">A63</f>
        <v>Custard Apple</v>
      </c>
      <c r="B127" s="94"/>
      <c r="C127" s="94"/>
      <c r="D127" s="94"/>
      <c r="E127" s="94"/>
      <c r="F127" s="94"/>
      <c r="G127" s="94"/>
      <c r="H127" s="94"/>
    </row>
    <row r="128" spans="1:8">
      <c r="A128" s="93"/>
      <c r="B128" s="94"/>
      <c r="C128" s="94"/>
      <c r="D128" s="94"/>
      <c r="E128" s="94"/>
      <c r="F128" s="94"/>
      <c r="G128" s="94"/>
      <c r="H128" s="94"/>
    </row>
    <row r="129" spans="1:8">
      <c r="A129" s="93"/>
      <c r="B129" s="94"/>
      <c r="C129" s="94"/>
      <c r="D129" s="94"/>
      <c r="E129" s="94"/>
      <c r="F129" s="94"/>
      <c r="G129" s="94"/>
      <c r="H129" s="94"/>
    </row>
    <row r="130" spans="1:8">
      <c r="A130" s="93"/>
      <c r="B130" s="94"/>
      <c r="C130" s="94"/>
      <c r="D130" s="94"/>
      <c r="E130" s="94"/>
      <c r="F130" s="94"/>
      <c r="G130" s="94"/>
      <c r="H130" s="94"/>
    </row>
    <row r="131" spans="1:8">
      <c r="A131" s="93" t="str">
        <f>A64</f>
        <v>Guava</v>
      </c>
      <c r="B131" s="94"/>
      <c r="C131" s="94"/>
      <c r="D131" s="94"/>
      <c r="E131" s="94"/>
      <c r="F131" s="94"/>
      <c r="G131" s="94"/>
      <c r="H131" s="94"/>
    </row>
    <row r="132" spans="1:8">
      <c r="A132" s="93"/>
      <c r="B132" s="94"/>
      <c r="C132" s="94"/>
      <c r="D132" s="94"/>
      <c r="E132" s="94"/>
      <c r="F132" s="94"/>
      <c r="G132" s="94"/>
      <c r="H132" s="94"/>
    </row>
    <row r="133" spans="1:8">
      <c r="A133" s="93"/>
      <c r="B133" s="94"/>
      <c r="C133" s="94"/>
      <c r="D133" s="94"/>
      <c r="E133" s="94"/>
      <c r="F133" s="94"/>
      <c r="G133" s="94"/>
      <c r="H133" s="94"/>
    </row>
    <row r="134" spans="1:8">
      <c r="A134" s="93"/>
      <c r="B134" s="94"/>
      <c r="C134" s="94"/>
      <c r="D134" s="94"/>
      <c r="E134" s="94"/>
      <c r="F134" s="94"/>
      <c r="G134" s="94"/>
      <c r="H134" s="94"/>
    </row>
    <row r="135" spans="1:8">
      <c r="A135" s="93" t="str">
        <f>A65</f>
        <v>Citrus</v>
      </c>
      <c r="B135" s="94"/>
      <c r="C135" s="94"/>
      <c r="D135" s="94"/>
      <c r="E135" s="94"/>
      <c r="F135" s="94"/>
      <c r="G135" s="94"/>
      <c r="H135" s="94"/>
    </row>
    <row r="136" spans="1:8">
      <c r="A136" s="93"/>
      <c r="B136" s="94"/>
      <c r="C136" s="94"/>
      <c r="D136" s="94"/>
      <c r="E136" s="94"/>
      <c r="F136" s="94"/>
      <c r="G136" s="94"/>
      <c r="H136" s="94"/>
    </row>
    <row r="137" spans="1:8">
      <c r="A137" s="93"/>
      <c r="B137" s="94"/>
      <c r="C137" s="94"/>
      <c r="D137" s="94"/>
      <c r="E137" s="94"/>
      <c r="F137" s="94"/>
      <c r="G137" s="94"/>
      <c r="H137" s="94"/>
    </row>
    <row r="138" spans="1:8">
      <c r="A138" s="93"/>
      <c r="B138" s="94"/>
      <c r="C138" s="94"/>
      <c r="D138" s="94"/>
      <c r="E138" s="94"/>
      <c r="F138" s="94"/>
      <c r="G138" s="94"/>
      <c r="H138" s="94"/>
    </row>
    <row r="139" spans="1:8">
      <c r="A139" s="183"/>
      <c r="B139" s="306"/>
      <c r="C139" s="306"/>
      <c r="D139" s="306"/>
      <c r="E139" s="306"/>
      <c r="F139" s="306"/>
      <c r="G139" s="306"/>
      <c r="H139" s="306"/>
    </row>
    <row r="140" spans="1:8">
      <c r="A140" s="184" t="s">
        <v>452</v>
      </c>
    </row>
    <row r="141" spans="1:8">
      <c r="A141" t="s">
        <v>531</v>
      </c>
      <c r="B141" s="28">
        <f t="shared" ref="B141:C143" si="20">(B124*100)</f>
        <v>0</v>
      </c>
      <c r="C141" s="28">
        <f t="shared" si="20"/>
        <v>0</v>
      </c>
      <c r="D141" s="28">
        <f t="shared" ref="D141:H141" si="21">(D124*100)</f>
        <v>0</v>
      </c>
      <c r="E141" s="28">
        <f t="shared" si="21"/>
        <v>0</v>
      </c>
      <c r="F141" s="28">
        <f t="shared" si="21"/>
        <v>0</v>
      </c>
      <c r="G141" s="28">
        <f t="shared" si="21"/>
        <v>0</v>
      </c>
      <c r="H141" s="28">
        <f t="shared" si="21"/>
        <v>0</v>
      </c>
    </row>
    <row r="142" spans="1:8">
      <c r="A142" t="s">
        <v>532</v>
      </c>
      <c r="B142" s="28">
        <f t="shared" si="20"/>
        <v>0</v>
      </c>
      <c r="C142" s="28">
        <f t="shared" si="20"/>
        <v>0</v>
      </c>
      <c r="D142" s="28">
        <f t="shared" ref="D142:H142" si="22">(D125*100)</f>
        <v>0</v>
      </c>
      <c r="E142" s="28">
        <f t="shared" si="22"/>
        <v>0</v>
      </c>
      <c r="F142" s="28">
        <f t="shared" si="22"/>
        <v>0</v>
      </c>
      <c r="G142" s="28">
        <f t="shared" si="22"/>
        <v>0</v>
      </c>
      <c r="H142" s="28">
        <f t="shared" si="22"/>
        <v>0</v>
      </c>
    </row>
    <row r="143" spans="1:8">
      <c r="A143" t="s">
        <v>533</v>
      </c>
      <c r="B143" s="28">
        <f t="shared" si="20"/>
        <v>0</v>
      </c>
      <c r="C143" s="28">
        <f t="shared" si="20"/>
        <v>0</v>
      </c>
      <c r="D143" s="28">
        <f t="shared" ref="D143:H143" si="23">(D126*100)</f>
        <v>0</v>
      </c>
      <c r="E143" s="28">
        <f t="shared" si="23"/>
        <v>0</v>
      </c>
      <c r="F143" s="28">
        <f t="shared" si="23"/>
        <v>0</v>
      </c>
      <c r="G143" s="28">
        <f t="shared" si="23"/>
        <v>0</v>
      </c>
      <c r="H143" s="28">
        <f t="shared" si="23"/>
        <v>0</v>
      </c>
    </row>
    <row r="145" spans="1:10">
      <c r="B145" s="28"/>
      <c r="C145" s="28"/>
    </row>
    <row r="146" spans="1:10">
      <c r="B146" s="28"/>
      <c r="C146" s="28"/>
      <c r="D146" s="28"/>
    </row>
    <row r="147" spans="1:10" ht="17.399999999999999">
      <c r="A147" s="428" t="s">
        <v>602</v>
      </c>
      <c r="B147" s="428"/>
      <c r="C147" s="428"/>
      <c r="D147" s="428"/>
      <c r="E147" s="428"/>
      <c r="F147" s="428"/>
      <c r="G147" s="428"/>
      <c r="H147" s="428"/>
      <c r="I147" s="428"/>
      <c r="J147" s="428"/>
    </row>
    <row r="148" spans="1:10">
      <c r="A148" s="318"/>
      <c r="B148" s="318"/>
      <c r="C148" s="318"/>
      <c r="D148" s="318"/>
      <c r="E148" s="318"/>
      <c r="F148" s="318"/>
      <c r="G148" s="318"/>
      <c r="H148" s="318"/>
    </row>
    <row r="149" spans="1:10">
      <c r="A149" s="321"/>
      <c r="B149" s="321"/>
      <c r="C149" s="321"/>
      <c r="D149" s="190">
        <v>1</v>
      </c>
      <c r="E149" s="191">
        <f>(D149*5%)+D149</f>
        <v>1.05</v>
      </c>
      <c r="F149" s="191">
        <f t="shared" ref="F149:J149" si="24">(E149*5%)+E149</f>
        <v>1.1025</v>
      </c>
      <c r="G149" s="191">
        <f t="shared" si="24"/>
        <v>1.1576250000000001</v>
      </c>
      <c r="H149" s="191">
        <f t="shared" si="24"/>
        <v>1.2155062500000002</v>
      </c>
      <c r="I149" s="191">
        <f t="shared" si="24"/>
        <v>1.2762815625000004</v>
      </c>
      <c r="J149" s="191">
        <f t="shared" si="24"/>
        <v>1.3400956406250004</v>
      </c>
    </row>
    <row r="150" spans="1:10">
      <c r="A150" s="92"/>
      <c r="B150" s="92"/>
      <c r="C150" s="92"/>
      <c r="D150" s="92"/>
      <c r="E150" s="92"/>
      <c r="F150" s="92"/>
      <c r="G150" s="92"/>
      <c r="H150" s="92"/>
      <c r="I150" s="92"/>
      <c r="J150" s="92"/>
    </row>
    <row r="151" spans="1:10">
      <c r="A151" s="146" t="s">
        <v>0</v>
      </c>
      <c r="B151" s="146" t="s">
        <v>132</v>
      </c>
      <c r="C151" s="146" t="s">
        <v>153</v>
      </c>
      <c r="D151" s="118" t="s">
        <v>2</v>
      </c>
      <c r="E151" s="118" t="s">
        <v>3</v>
      </c>
      <c r="F151" s="118" t="s">
        <v>4</v>
      </c>
      <c r="G151" s="118" t="s">
        <v>5</v>
      </c>
      <c r="H151" s="118" t="s">
        <v>6</v>
      </c>
      <c r="I151" s="118" t="s">
        <v>170</v>
      </c>
      <c r="J151" s="118" t="s">
        <v>169</v>
      </c>
    </row>
    <row r="152" spans="1:10">
      <c r="A152" s="93"/>
      <c r="B152" s="93"/>
      <c r="C152" s="93"/>
      <c r="D152" s="93"/>
      <c r="E152" s="93"/>
      <c r="F152" s="93"/>
      <c r="G152" s="93"/>
      <c r="H152" s="93"/>
      <c r="I152" s="93"/>
      <c r="J152" s="93"/>
    </row>
    <row r="153" spans="1:10">
      <c r="A153" s="95" t="s">
        <v>126</v>
      </c>
      <c r="B153" s="95"/>
      <c r="C153" s="95"/>
      <c r="D153" s="112"/>
      <c r="E153" s="112"/>
      <c r="F153" s="112"/>
      <c r="G153" s="112"/>
      <c r="H153" s="112"/>
      <c r="I153" s="93"/>
      <c r="J153" s="93"/>
    </row>
    <row r="154" spans="1:10">
      <c r="A154" s="93" t="str">
        <f>A124</f>
        <v>Pomegranate Arils</v>
      </c>
      <c r="B154" s="230" t="s">
        <v>530</v>
      </c>
      <c r="C154" s="230">
        <v>150</v>
      </c>
      <c r="D154" s="94">
        <f>(B141*(1-'5.Closing Stock &amp; W Capital'!$D$18)*$C154*D$149)</f>
        <v>0</v>
      </c>
      <c r="E154" s="94">
        <f>(((C141*(1-'5.Closing Stock &amp; W Capital'!$D$18))+(B141*'5.Closing Stock &amp; W Capital'!$D$18))*$C154*E$149)</f>
        <v>0</v>
      </c>
      <c r="F154" s="94">
        <f>(((D141*(1-'5.Closing Stock &amp; W Capital'!$D$18))+(C141*'5.Closing Stock &amp; W Capital'!$D$18))*$C154*F$149)</f>
        <v>0</v>
      </c>
      <c r="G154" s="94">
        <f>(((E141*(1-'5.Closing Stock &amp; W Capital'!$D$18))+(D141*'5.Closing Stock &amp; W Capital'!$D$18))*$C154*G$149)</f>
        <v>0</v>
      </c>
      <c r="H154" s="94">
        <f>(((F141*(1-'5.Closing Stock &amp; W Capital'!$D$18))+(E141*'5.Closing Stock &amp; W Capital'!$D$18))*$C154*H$149)</f>
        <v>0</v>
      </c>
      <c r="I154" s="94">
        <f>(((G141*(1-'5.Closing Stock &amp; W Capital'!$D$18))+(F141*'5.Closing Stock &amp; W Capital'!$D$18))*$C154*I$149)</f>
        <v>0</v>
      </c>
      <c r="J154" s="94">
        <f>(((H141*(1-'5.Closing Stock &amp; W Capital'!$D$18))+(G141*'5.Closing Stock &amp; W Capital'!$D$18))*$C154*J$149)</f>
        <v>0</v>
      </c>
    </row>
    <row r="155" spans="1:10">
      <c r="A155" s="93" t="str">
        <f>A125</f>
        <v>Pomegranate Juice</v>
      </c>
      <c r="B155" s="230" t="s">
        <v>529</v>
      </c>
      <c r="C155" s="230">
        <v>40</v>
      </c>
      <c r="D155" s="94">
        <f>(B142*(1-'5.Closing Stock &amp; W Capital'!$D$18)*$C155*D$149)</f>
        <v>0</v>
      </c>
      <c r="E155" s="94">
        <f>(((C142*(1-'5.Closing Stock &amp; W Capital'!$D$18))+(B142*'5.Closing Stock &amp; W Capital'!$D$18))*$C155*E$149)</f>
        <v>0</v>
      </c>
      <c r="F155" s="94">
        <f>(((D142*(1-'5.Closing Stock &amp; W Capital'!$D$18))+(C142*'5.Closing Stock &amp; W Capital'!$D$18))*$C155*F$149)</f>
        <v>0</v>
      </c>
      <c r="G155" s="94">
        <f>(((E142*(1-'5.Closing Stock &amp; W Capital'!$D$18))+(D142*'5.Closing Stock &amp; W Capital'!$D$18))*$C155*G$149)</f>
        <v>0</v>
      </c>
      <c r="H155" s="94">
        <f>(((F142*(1-'5.Closing Stock &amp; W Capital'!$D$18))+(E142*'5.Closing Stock &amp; W Capital'!$D$18))*$C155*H$149)</f>
        <v>0</v>
      </c>
      <c r="I155" s="94">
        <f>(((G142*(1-'5.Closing Stock &amp; W Capital'!$D$18))+(F142*'5.Closing Stock &amp; W Capital'!$D$18))*$C155*I$149)</f>
        <v>0</v>
      </c>
      <c r="J155" s="94">
        <f>(((H142*(1-'5.Closing Stock &amp; W Capital'!$D$18))+(G142*'5.Closing Stock &amp; W Capital'!$D$18))*$C155*J$149)</f>
        <v>0</v>
      </c>
    </row>
    <row r="156" spans="1:10">
      <c r="A156" s="93" t="str">
        <f>A126</f>
        <v>Pomegranate Powder</v>
      </c>
      <c r="B156" s="230" t="s">
        <v>363</v>
      </c>
      <c r="C156" s="230">
        <v>50</v>
      </c>
      <c r="D156" s="94">
        <f>(B143*(1-'5.Closing Stock &amp; W Capital'!$D$18)*$C156*D$149)</f>
        <v>0</v>
      </c>
      <c r="E156" s="94">
        <f>(((C143*(1-'5.Closing Stock &amp; W Capital'!$D$18))+(B143*'5.Closing Stock &amp; W Capital'!$D$18))*$C156*E$149)</f>
        <v>0</v>
      </c>
      <c r="F156" s="94">
        <f>(((D143*(1-'5.Closing Stock &amp; W Capital'!$D$18))+(C143*'5.Closing Stock &amp; W Capital'!$D$18))*$C156*F$149)</f>
        <v>0</v>
      </c>
      <c r="G156" s="94">
        <f>(((E143*(1-'5.Closing Stock &amp; W Capital'!$D$18))+(D143*'5.Closing Stock &amp; W Capital'!$D$18))*$C156*G$149)</f>
        <v>0</v>
      </c>
      <c r="H156" s="94">
        <f>(((F143*(1-'5.Closing Stock &amp; W Capital'!$D$18))+(E143*'5.Closing Stock &amp; W Capital'!$D$18))*$C156*H$149)</f>
        <v>0</v>
      </c>
      <c r="I156" s="94">
        <f>(((G143*(1-'5.Closing Stock &amp; W Capital'!$D$18))+(F143*'5.Closing Stock &amp; W Capital'!$D$18))*$C156*I$149)</f>
        <v>0</v>
      </c>
      <c r="J156" s="94">
        <f>(((H143*(1-'5.Closing Stock &amp; W Capital'!$D$18))+(G143*'5.Closing Stock &amp; W Capital'!$D$18))*$C156*J$149)</f>
        <v>0</v>
      </c>
    </row>
    <row r="157" spans="1:10">
      <c r="A157" s="93"/>
      <c r="B157" s="230"/>
      <c r="C157" s="230"/>
      <c r="D157" s="94"/>
      <c r="E157" s="94"/>
      <c r="F157" s="94"/>
      <c r="G157" s="94"/>
      <c r="H157" s="94"/>
      <c r="I157" s="94"/>
      <c r="J157" s="94"/>
    </row>
    <row r="158" spans="1:10">
      <c r="A158" s="93"/>
      <c r="B158" s="93"/>
      <c r="C158" s="93"/>
      <c r="D158" s="94"/>
      <c r="E158" s="94"/>
      <c r="F158" s="94"/>
      <c r="G158" s="94"/>
      <c r="H158" s="94"/>
      <c r="I158" s="94"/>
      <c r="J158" s="94"/>
    </row>
    <row r="159" spans="1:10">
      <c r="A159" s="95" t="s">
        <v>126</v>
      </c>
      <c r="B159" s="95"/>
      <c r="C159" s="95"/>
      <c r="D159" s="113">
        <f t="shared" ref="D159:J159" si="25">SUM(D154:D157)</f>
        <v>0</v>
      </c>
      <c r="E159" s="113">
        <f t="shared" si="25"/>
        <v>0</v>
      </c>
      <c r="F159" s="113">
        <f t="shared" si="25"/>
        <v>0</v>
      </c>
      <c r="G159" s="113">
        <f t="shared" si="25"/>
        <v>0</v>
      </c>
      <c r="H159" s="113">
        <f t="shared" si="25"/>
        <v>0</v>
      </c>
      <c r="I159" s="113">
        <f t="shared" si="25"/>
        <v>0</v>
      </c>
      <c r="J159" s="113">
        <f t="shared" si="25"/>
        <v>0</v>
      </c>
    </row>
    <row r="160" spans="1:10">
      <c r="A160" s="93"/>
      <c r="B160" s="93"/>
      <c r="C160" s="93"/>
      <c r="D160" s="94"/>
      <c r="E160" s="94"/>
      <c r="F160" s="94"/>
      <c r="G160" s="94"/>
      <c r="H160" s="94"/>
      <c r="I160" s="94"/>
      <c r="J160" s="94"/>
    </row>
    <row r="161" spans="1:10">
      <c r="A161" s="95" t="s">
        <v>142</v>
      </c>
      <c r="B161" s="95"/>
      <c r="C161" s="95"/>
      <c r="D161" s="94"/>
      <c r="E161" s="94"/>
      <c r="F161" s="94"/>
      <c r="G161" s="94"/>
      <c r="H161" s="94"/>
      <c r="I161" s="94"/>
      <c r="J161" s="94"/>
    </row>
    <row r="162" spans="1:10">
      <c r="A162" s="95" t="s">
        <v>313</v>
      </c>
      <c r="B162" s="95"/>
      <c r="C162" s="93"/>
      <c r="D162" s="94"/>
      <c r="E162" s="94"/>
      <c r="F162" s="94"/>
      <c r="G162" s="94"/>
      <c r="H162" s="94"/>
      <c r="I162" s="94"/>
      <c r="J162" s="94"/>
    </row>
    <row r="163" spans="1:10">
      <c r="A163" s="97" t="s">
        <v>534</v>
      </c>
      <c r="B163" s="230" t="s">
        <v>364</v>
      </c>
      <c r="C163" s="254">
        <v>6000</v>
      </c>
      <c r="D163" s="94">
        <f>B62*$C163*D$149</f>
        <v>0</v>
      </c>
      <c r="E163" s="94">
        <f>C62*$C163*E$149</f>
        <v>0</v>
      </c>
      <c r="F163" s="94">
        <f t="shared" ref="F163:J163" si="26">D62*$C163*F$149</f>
        <v>0</v>
      </c>
      <c r="G163" s="94">
        <f t="shared" si="26"/>
        <v>0</v>
      </c>
      <c r="H163" s="94">
        <f t="shared" si="26"/>
        <v>0</v>
      </c>
      <c r="I163" s="94">
        <f t="shared" si="26"/>
        <v>0</v>
      </c>
      <c r="J163" s="94">
        <f t="shared" si="26"/>
        <v>0</v>
      </c>
    </row>
    <row r="164" spans="1:10">
      <c r="A164" s="93" t="s">
        <v>535</v>
      </c>
      <c r="B164" s="230" t="s">
        <v>364</v>
      </c>
      <c r="C164" s="230">
        <v>2000</v>
      </c>
      <c r="D164" s="94">
        <f>(B62*10%)*$C164*D$149</f>
        <v>0</v>
      </c>
      <c r="E164" s="94">
        <f t="shared" ref="E164:J164" si="27">(C62*10%)*$C164*E$149</f>
        <v>0</v>
      </c>
      <c r="F164" s="94">
        <f t="shared" si="27"/>
        <v>0</v>
      </c>
      <c r="G164" s="94">
        <f t="shared" si="27"/>
        <v>0</v>
      </c>
      <c r="H164" s="94">
        <f t="shared" si="27"/>
        <v>0</v>
      </c>
      <c r="I164" s="94">
        <f t="shared" si="27"/>
        <v>0</v>
      </c>
      <c r="J164" s="94">
        <f t="shared" si="27"/>
        <v>0</v>
      </c>
    </row>
    <row r="165" spans="1:10">
      <c r="A165" s="93" t="s">
        <v>323</v>
      </c>
      <c r="B165" s="230">
        <v>5</v>
      </c>
      <c r="C165" s="230">
        <v>300</v>
      </c>
      <c r="D165" s="94">
        <f t="shared" ref="D165:J165" si="28">B12*$B$165*$C$165*D149</f>
        <v>0</v>
      </c>
      <c r="E165" s="94">
        <f t="shared" si="28"/>
        <v>0</v>
      </c>
      <c r="F165" s="94">
        <f t="shared" si="28"/>
        <v>0</v>
      </c>
      <c r="G165" s="94">
        <f t="shared" si="28"/>
        <v>0</v>
      </c>
      <c r="H165" s="94">
        <f t="shared" si="28"/>
        <v>0</v>
      </c>
      <c r="I165" s="94">
        <f t="shared" si="28"/>
        <v>0</v>
      </c>
      <c r="J165" s="94">
        <f t="shared" si="28"/>
        <v>0</v>
      </c>
    </row>
    <row r="166" spans="1:10">
      <c r="A166" s="93" t="s">
        <v>144</v>
      </c>
      <c r="B166" s="93">
        <f>'2.Capex Details'!H75*0.746*8</f>
        <v>0</v>
      </c>
      <c r="C166" s="230">
        <v>8</v>
      </c>
      <c r="D166" s="94">
        <f t="shared" ref="D166:J166" si="29">$B$166*$C$166*B12*D149</f>
        <v>0</v>
      </c>
      <c r="E166" s="94">
        <f t="shared" si="29"/>
        <v>0</v>
      </c>
      <c r="F166" s="94">
        <f t="shared" si="29"/>
        <v>0</v>
      </c>
      <c r="G166" s="94">
        <f t="shared" si="29"/>
        <v>0</v>
      </c>
      <c r="H166" s="94">
        <f t="shared" si="29"/>
        <v>0</v>
      </c>
      <c r="I166" s="94">
        <f t="shared" si="29"/>
        <v>0</v>
      </c>
      <c r="J166" s="94">
        <f t="shared" si="29"/>
        <v>0</v>
      </c>
    </row>
    <row r="167" spans="1:10">
      <c r="A167" s="93" t="s">
        <v>296</v>
      </c>
      <c r="B167" s="93" t="s">
        <v>364</v>
      </c>
      <c r="C167" s="230">
        <v>10</v>
      </c>
      <c r="D167" s="94">
        <f>B62*$C167*D$149</f>
        <v>0</v>
      </c>
      <c r="E167" s="94">
        <f t="shared" ref="E167:J167" si="30">C62*$C167*E$149</f>
        <v>0</v>
      </c>
      <c r="F167" s="94">
        <f t="shared" si="30"/>
        <v>0</v>
      </c>
      <c r="G167" s="94">
        <f t="shared" si="30"/>
        <v>0</v>
      </c>
      <c r="H167" s="94">
        <f t="shared" si="30"/>
        <v>0</v>
      </c>
      <c r="I167" s="94">
        <f t="shared" si="30"/>
        <v>0</v>
      </c>
      <c r="J167" s="94">
        <f t="shared" si="30"/>
        <v>0</v>
      </c>
    </row>
    <row r="168" spans="1:10">
      <c r="A168" s="107" t="s">
        <v>297</v>
      </c>
      <c r="B168" s="107"/>
      <c r="C168" s="256">
        <v>2</v>
      </c>
      <c r="D168" s="94">
        <f>SUM(B141:B143)*$C$168*D$149</f>
        <v>0</v>
      </c>
      <c r="E168" s="94">
        <f t="shared" ref="E168:J168" si="31">SUM(C141:C143)*$C$168*E$149</f>
        <v>0</v>
      </c>
      <c r="F168" s="94">
        <f t="shared" si="31"/>
        <v>0</v>
      </c>
      <c r="G168" s="94">
        <f t="shared" si="31"/>
        <v>0</v>
      </c>
      <c r="H168" s="94">
        <f t="shared" si="31"/>
        <v>0</v>
      </c>
      <c r="I168" s="94">
        <f t="shared" si="31"/>
        <v>0</v>
      </c>
      <c r="J168" s="94">
        <f t="shared" si="31"/>
        <v>0</v>
      </c>
    </row>
    <row r="169" spans="1:10">
      <c r="A169" s="93" t="s">
        <v>298</v>
      </c>
      <c r="B169" s="93"/>
      <c r="C169" s="230">
        <v>1</v>
      </c>
      <c r="D169" s="94">
        <f>SUM(B141:B143)*$C$169*D$149</f>
        <v>0</v>
      </c>
      <c r="E169" s="94">
        <f t="shared" ref="E169:J169" si="32">SUM(C141:C143)*$C$169*E$149</f>
        <v>0</v>
      </c>
      <c r="F169" s="94">
        <f t="shared" si="32"/>
        <v>0</v>
      </c>
      <c r="G169" s="94">
        <f t="shared" si="32"/>
        <v>0</v>
      </c>
      <c r="H169" s="94">
        <f t="shared" si="32"/>
        <v>0</v>
      </c>
      <c r="I169" s="94">
        <f t="shared" si="32"/>
        <v>0</v>
      </c>
      <c r="J169" s="9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92" t="s">
        <v>345</v>
      </c>
      <c r="B174" s="94"/>
      <c r="C174" s="94"/>
      <c r="D174" s="94"/>
      <c r="E174" s="94">
        <f>'5.Closing Stock &amp; W Capital'!F8</f>
        <v>0</v>
      </c>
      <c r="F174" s="94">
        <f>'5.Closing Stock &amp; W Capital'!G8</f>
        <v>0</v>
      </c>
      <c r="G174" s="94">
        <f>'5.Closing Stock &amp; W Capital'!H8</f>
        <v>0</v>
      </c>
      <c r="H174" s="94">
        <f>'5.Closing Stock &amp; W Capital'!I8</f>
        <v>0</v>
      </c>
      <c r="I174" s="94">
        <f>'5.Closing Stock &amp; W Capital'!J8</f>
        <v>0</v>
      </c>
      <c r="J174" s="94">
        <f>'5.Closing Stock &amp; W Capital'!K8</f>
        <v>0</v>
      </c>
    </row>
    <row r="175" spans="1:10">
      <c r="A175" s="192" t="s">
        <v>346</v>
      </c>
      <c r="B175" s="94"/>
      <c r="C175" s="94"/>
      <c r="D175" s="94">
        <f>'5.Closing Stock &amp; W Capital'!E17</f>
        <v>0</v>
      </c>
      <c r="E175" s="94">
        <f>'5.Closing Stock &amp; W Capital'!F17</f>
        <v>0</v>
      </c>
      <c r="F175" s="94">
        <f>'5.Closing Stock &amp; W Capital'!G17</f>
        <v>0</v>
      </c>
      <c r="G175" s="94">
        <f>'5.Closing Stock &amp; W Capital'!H17</f>
        <v>0</v>
      </c>
      <c r="H175" s="94">
        <f>'5.Closing Stock &amp; W Capital'!I17</f>
        <v>0</v>
      </c>
      <c r="I175" s="94">
        <f>'5.Closing Stock &amp; W Capital'!J17</f>
        <v>0</v>
      </c>
      <c r="J175" s="94">
        <f>'5.Closing Stock &amp; W Capital'!K17</f>
        <v>0</v>
      </c>
    </row>
    <row r="176" spans="1:10">
      <c r="A176" s="94"/>
      <c r="B176" s="94"/>
      <c r="C176" s="94"/>
      <c r="D176" s="94"/>
      <c r="E176" s="94"/>
      <c r="F176" s="94"/>
      <c r="G176" s="94"/>
      <c r="H176" s="94"/>
      <c r="I176" s="94"/>
      <c r="J176" s="94"/>
    </row>
    <row r="177" spans="1:10">
      <c r="A177" s="113" t="s">
        <v>324</v>
      </c>
      <c r="B177" s="94"/>
      <c r="C177" s="94"/>
      <c r="D177" s="113">
        <f t="shared" ref="D177:J177" si="33">SUM(D163:D174)-D175</f>
        <v>0</v>
      </c>
      <c r="E177" s="113">
        <f t="shared" si="33"/>
        <v>0</v>
      </c>
      <c r="F177" s="113">
        <f t="shared" si="33"/>
        <v>0</v>
      </c>
      <c r="G177" s="113">
        <f t="shared" si="33"/>
        <v>0</v>
      </c>
      <c r="H177" s="113">
        <f t="shared" si="33"/>
        <v>0</v>
      </c>
      <c r="I177" s="113">
        <f t="shared" si="33"/>
        <v>0</v>
      </c>
      <c r="J177" s="113">
        <f t="shared" si="33"/>
        <v>0</v>
      </c>
    </row>
    <row r="178" spans="1:10">
      <c r="A178" s="92"/>
      <c r="B178" s="92"/>
      <c r="C178" s="92"/>
      <c r="D178" s="92"/>
      <c r="E178" s="92"/>
      <c r="F178" s="92"/>
      <c r="G178" s="92"/>
      <c r="H178" s="92"/>
      <c r="I178" s="92"/>
      <c r="J178" s="92"/>
    </row>
    <row r="179" spans="1:10">
      <c r="A179" s="193" t="s">
        <v>311</v>
      </c>
      <c r="B179" s="193"/>
      <c r="C179" s="193"/>
      <c r="D179" s="113"/>
      <c r="E179" s="113"/>
      <c r="F179" s="113"/>
      <c r="G179" s="113"/>
      <c r="H179" s="113"/>
      <c r="I179" s="113"/>
      <c r="J179" s="113"/>
    </row>
    <row r="180" spans="1:10">
      <c r="A180" s="93" t="s">
        <v>188</v>
      </c>
      <c r="B180" s="230">
        <v>1</v>
      </c>
      <c r="C180" s="254"/>
      <c r="D180" s="94">
        <f t="shared" ref="D180:J180" si="34">$B$180*$C$180*12*D149</f>
        <v>0</v>
      </c>
      <c r="E180" s="94">
        <f t="shared" si="34"/>
        <v>0</v>
      </c>
      <c r="F180" s="94">
        <f t="shared" si="34"/>
        <v>0</v>
      </c>
      <c r="G180" s="94">
        <f t="shared" si="34"/>
        <v>0</v>
      </c>
      <c r="H180" s="94">
        <f t="shared" si="34"/>
        <v>0</v>
      </c>
      <c r="I180" s="94">
        <f t="shared" si="34"/>
        <v>0</v>
      </c>
      <c r="J180" s="94">
        <f t="shared" si="34"/>
        <v>0</v>
      </c>
    </row>
    <row r="181" spans="1:10">
      <c r="A181" s="93" t="s">
        <v>193</v>
      </c>
      <c r="B181" s="230">
        <v>2</v>
      </c>
      <c r="C181" s="254"/>
      <c r="D181" s="94">
        <f t="shared" ref="D181:J181" si="35">$B$181*$C$181*12*D149</f>
        <v>0</v>
      </c>
      <c r="E181" s="94">
        <f t="shared" si="35"/>
        <v>0</v>
      </c>
      <c r="F181" s="94">
        <f t="shared" si="35"/>
        <v>0</v>
      </c>
      <c r="G181" s="94">
        <f t="shared" si="35"/>
        <v>0</v>
      </c>
      <c r="H181" s="94">
        <f t="shared" si="35"/>
        <v>0</v>
      </c>
      <c r="I181" s="94">
        <f t="shared" si="35"/>
        <v>0</v>
      </c>
      <c r="J181" s="94">
        <f t="shared" si="35"/>
        <v>0</v>
      </c>
    </row>
    <row r="182" spans="1:10">
      <c r="A182" s="93"/>
      <c r="B182" s="230"/>
      <c r="C182" s="254"/>
      <c r="D182" s="94"/>
      <c r="E182" s="94"/>
      <c r="F182" s="94"/>
      <c r="G182" s="94"/>
      <c r="H182" s="94"/>
      <c r="I182" s="94"/>
      <c r="J182" s="94"/>
    </row>
    <row r="183" spans="1:10">
      <c r="A183" s="93"/>
      <c r="B183" s="230"/>
      <c r="C183" s="254"/>
      <c r="D183" s="94"/>
      <c r="E183" s="94"/>
      <c r="F183" s="94"/>
      <c r="G183" s="94"/>
      <c r="H183" s="94"/>
      <c r="I183" s="94"/>
      <c r="J183" s="94"/>
    </row>
    <row r="184" spans="1:10">
      <c r="A184" s="93"/>
      <c r="B184" s="230"/>
      <c r="C184" s="254"/>
      <c r="D184" s="94"/>
      <c r="E184" s="94"/>
      <c r="F184" s="94"/>
      <c r="G184" s="94"/>
      <c r="H184" s="94"/>
      <c r="I184" s="94"/>
      <c r="J184" s="94"/>
    </row>
    <row r="185" spans="1:10">
      <c r="A185" s="95" t="s">
        <v>311</v>
      </c>
      <c r="B185" s="95"/>
      <c r="C185" s="95"/>
      <c r="D185" s="113">
        <f>SUM(D180:D184)</f>
        <v>0</v>
      </c>
      <c r="E185" s="113">
        <f t="shared" ref="E185:J185" si="36">SUM(E180:E184)</f>
        <v>0</v>
      </c>
      <c r="F185" s="113">
        <f t="shared" si="36"/>
        <v>0</v>
      </c>
      <c r="G185" s="113">
        <f t="shared" si="36"/>
        <v>0</v>
      </c>
      <c r="H185" s="113">
        <f t="shared" si="36"/>
        <v>0</v>
      </c>
      <c r="I185" s="113">
        <f t="shared" si="36"/>
        <v>0</v>
      </c>
      <c r="J185" s="113">
        <f t="shared" si="36"/>
        <v>0</v>
      </c>
    </row>
    <row r="186" spans="1:10">
      <c r="A186" s="193" t="s">
        <v>299</v>
      </c>
      <c r="B186" s="193"/>
      <c r="C186" s="193"/>
      <c r="D186" s="113">
        <f>D177+D185</f>
        <v>0</v>
      </c>
      <c r="E186" s="113">
        <f t="shared" ref="E186:J186" si="37">E177+E185</f>
        <v>0</v>
      </c>
      <c r="F186" s="113">
        <f t="shared" si="37"/>
        <v>0</v>
      </c>
      <c r="G186" s="113">
        <f t="shared" si="37"/>
        <v>0</v>
      </c>
      <c r="H186" s="113">
        <f t="shared" si="37"/>
        <v>0</v>
      </c>
      <c r="I186" s="113">
        <f t="shared" si="37"/>
        <v>0</v>
      </c>
      <c r="J186" s="113">
        <f t="shared" si="37"/>
        <v>0</v>
      </c>
    </row>
    <row r="187" spans="1:10">
      <c r="A187" s="93"/>
      <c r="B187" s="93"/>
      <c r="C187" s="93"/>
      <c r="D187" s="94"/>
      <c r="E187" s="94"/>
      <c r="F187" s="94"/>
      <c r="G187" s="94"/>
      <c r="H187" s="94"/>
      <c r="I187" s="94"/>
      <c r="J187" s="94"/>
    </row>
    <row r="188" spans="1:10">
      <c r="A188" s="95" t="s">
        <v>7</v>
      </c>
      <c r="B188" s="95"/>
      <c r="C188" s="95"/>
      <c r="D188" s="113">
        <f t="shared" ref="D188:J188" si="38">D159-D186</f>
        <v>0</v>
      </c>
      <c r="E188" s="113">
        <f t="shared" si="38"/>
        <v>0</v>
      </c>
      <c r="F188" s="113">
        <f t="shared" si="38"/>
        <v>0</v>
      </c>
      <c r="G188" s="113">
        <f t="shared" si="38"/>
        <v>0</v>
      </c>
      <c r="H188" s="113">
        <f t="shared" si="38"/>
        <v>0</v>
      </c>
      <c r="I188" s="113">
        <f t="shared" si="38"/>
        <v>0</v>
      </c>
      <c r="J188" s="113">
        <f t="shared" si="38"/>
        <v>0</v>
      </c>
    </row>
    <row r="189" spans="1:10">
      <c r="A189" s="114"/>
      <c r="B189" s="114"/>
      <c r="C189" s="114"/>
      <c r="D189" s="92"/>
      <c r="E189" s="92"/>
      <c r="F189" s="92"/>
      <c r="G189" s="92"/>
      <c r="H189" s="92"/>
      <c r="I189" s="92"/>
      <c r="J189" s="92"/>
    </row>
    <row r="190" spans="1:10">
      <c r="A190" s="92"/>
      <c r="B190" s="92"/>
      <c r="C190" s="92"/>
      <c r="D190" s="92"/>
      <c r="E190" s="92"/>
      <c r="F190" s="92"/>
      <c r="G190" s="92"/>
      <c r="H190" s="92"/>
      <c r="I190" s="92"/>
      <c r="J190" s="92"/>
    </row>
    <row r="191" spans="1:10">
      <c r="A191" s="92"/>
      <c r="B191" s="92"/>
      <c r="C191" s="92"/>
      <c r="D191" s="92"/>
      <c r="E191" s="92"/>
      <c r="F191" s="92"/>
      <c r="G191" s="92"/>
      <c r="H191" s="92"/>
      <c r="I191" s="92"/>
      <c r="J191" s="92"/>
    </row>
    <row r="192" spans="1:10">
      <c r="A192" s="429" t="s">
        <v>428</v>
      </c>
      <c r="B192" s="429"/>
      <c r="C192" s="429"/>
      <c r="D192" s="429"/>
      <c r="E192" s="429"/>
      <c r="F192" s="429"/>
      <c r="G192" s="429"/>
      <c r="H192" s="429"/>
      <c r="I192" s="429"/>
      <c r="J192" s="429"/>
    </row>
    <row r="194" spans="1:5">
      <c r="A194" t="s">
        <v>541</v>
      </c>
    </row>
    <row r="195" spans="1:5">
      <c r="A195">
        <v>1</v>
      </c>
      <c r="B195" t="s">
        <v>552</v>
      </c>
    </row>
    <row r="196" spans="1:5">
      <c r="A196">
        <v>2</v>
      </c>
      <c r="B196" t="s">
        <v>553</v>
      </c>
      <c r="C196" s="65"/>
      <c r="D196" s="65"/>
      <c r="E196" s="65"/>
    </row>
    <row r="197" spans="1:5">
      <c r="A197">
        <v>3</v>
      </c>
      <c r="B197" s="92" t="s">
        <v>605</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3"/>
  <sheetViews>
    <sheetView zoomScale="130" zoomScaleNormal="130" zoomScaleSheetLayoutView="100" workbookViewId="0">
      <selection activeCell="D20" sqref="D20"/>
    </sheetView>
  </sheetViews>
  <sheetFormatPr defaultRowHeight="14.4"/>
  <cols>
    <col min="2" max="2" width="7.5546875" bestFit="1" customWidth="1"/>
    <col min="3" max="3" width="26.33203125" bestFit="1" customWidth="1"/>
    <col min="4" max="4" width="15" customWidth="1"/>
    <col min="5" max="5" width="16" customWidth="1"/>
    <col min="6" max="6" width="17.88671875" customWidth="1"/>
    <col min="7" max="7" width="15.5546875" bestFit="1" customWidth="1"/>
    <col min="8" max="8" width="12.6640625" bestFit="1" customWidth="1"/>
    <col min="9" max="9" width="15.5546875" bestFit="1" customWidth="1"/>
    <col min="10" max="10" width="9.88671875" bestFit="1" customWidth="1"/>
  </cols>
  <sheetData>
    <row r="2" spans="1:9" ht="17.399999999999999">
      <c r="B2" s="428" t="s">
        <v>556</v>
      </c>
      <c r="C2" s="428"/>
      <c r="D2" s="428"/>
      <c r="E2" s="428"/>
      <c r="F2" s="428"/>
      <c r="H2" t="s">
        <v>696</v>
      </c>
    </row>
    <row r="4" spans="1:9">
      <c r="B4" s="346" t="s">
        <v>145</v>
      </c>
      <c r="C4" s="346" t="s">
        <v>127</v>
      </c>
      <c r="D4" s="346" t="s">
        <v>159</v>
      </c>
      <c r="E4" s="351" t="s">
        <v>466</v>
      </c>
      <c r="F4" s="351" t="s">
        <v>467</v>
      </c>
    </row>
    <row r="5" spans="1:9">
      <c r="B5" s="347">
        <v>1</v>
      </c>
      <c r="C5" s="348" t="str">
        <f>'2.Capex Details'!B2</f>
        <v>Land and Building</v>
      </c>
      <c r="D5" s="352">
        <f>'2.Capex Details'!G12</f>
        <v>18073000</v>
      </c>
      <c r="E5" s="353">
        <v>0.6</v>
      </c>
      <c r="F5" s="354">
        <f>D5*E5</f>
        <v>10843800</v>
      </c>
    </row>
    <row r="6" spans="1:9">
      <c r="B6" s="347">
        <v>2</v>
      </c>
      <c r="C6" s="348" t="str">
        <f>'2.Capex Details'!B17</f>
        <v>Machinery and Equipment</v>
      </c>
      <c r="D6" s="352">
        <f>'2.Capex Details'!G77</f>
        <v>8619918</v>
      </c>
      <c r="E6" s="353">
        <v>0.6</v>
      </c>
      <c r="F6" s="354">
        <f>D6*E6</f>
        <v>5171950.8</v>
      </c>
    </row>
    <row r="7" spans="1:9">
      <c r="B7" s="347">
        <v>3</v>
      </c>
      <c r="C7" s="348" t="str">
        <f>'2.Capex Details'!B83</f>
        <v>Furniture and Fixture</v>
      </c>
      <c r="D7" s="352">
        <f>'2.Capex Details'!F92</f>
        <v>102900</v>
      </c>
      <c r="E7" s="353">
        <v>0.6</v>
      </c>
      <c r="F7" s="354">
        <f>D7*E7</f>
        <v>61740</v>
      </c>
    </row>
    <row r="8" spans="1:9">
      <c r="B8" s="347">
        <v>4</v>
      </c>
      <c r="C8" s="348" t="str">
        <f>'2.Capex Details'!B97</f>
        <v>IT &amp; It Infrastracture</v>
      </c>
      <c r="D8" s="352">
        <f>'2.Capex Details'!F106</f>
        <v>290980</v>
      </c>
      <c r="E8" s="353">
        <v>0.6</v>
      </c>
      <c r="F8" s="354">
        <f>D8*E8</f>
        <v>174588</v>
      </c>
      <c r="G8" s="399"/>
    </row>
    <row r="9" spans="1:9" ht="26.4">
      <c r="B9" s="347">
        <v>5</v>
      </c>
      <c r="C9" s="348" t="str">
        <f>'2.Capex Details'!B111</f>
        <v>Transport vehical  (Refer van and other)</v>
      </c>
      <c r="D9" s="352">
        <f>'2.Capex Details'!F117</f>
        <v>0</v>
      </c>
      <c r="E9" s="353">
        <v>0.6</v>
      </c>
      <c r="F9" s="354">
        <f t="shared" ref="F9" si="0">D9*E9</f>
        <v>0</v>
      </c>
    </row>
    <row r="10" spans="1:9">
      <c r="B10" s="347">
        <v>6</v>
      </c>
      <c r="C10" s="348" t="str">
        <f>'2.Capex Details'!B121</f>
        <v>Preliminary Expenses</v>
      </c>
      <c r="D10" s="352">
        <f>'2.Capex Details'!D129</f>
        <v>963900</v>
      </c>
      <c r="E10" s="353">
        <v>0.6</v>
      </c>
      <c r="F10" s="354">
        <f>D10*E10</f>
        <v>578340</v>
      </c>
      <c r="H10" s="65"/>
      <c r="I10" s="395"/>
    </row>
    <row r="11" spans="1:9">
      <c r="B11" s="347">
        <v>7</v>
      </c>
      <c r="C11" s="348" t="s">
        <v>157</v>
      </c>
      <c r="D11" s="352">
        <f>'5.Closing Stock &amp; W Capital'!E56</f>
        <v>1031754.7947004754</v>
      </c>
      <c r="E11" s="355"/>
      <c r="F11" s="355"/>
    </row>
    <row r="12" spans="1:9">
      <c r="B12" s="427" t="s">
        <v>1</v>
      </c>
      <c r="C12" s="427"/>
      <c r="D12" s="356">
        <f>SUM(D5:D11)</f>
        <v>29082452.794700474</v>
      </c>
      <c r="E12" s="355"/>
      <c r="F12" s="356">
        <f>SUM(F5:F11)</f>
        <v>16830418.800000001</v>
      </c>
      <c r="I12" s="65"/>
    </row>
    <row r="13" spans="1:9">
      <c r="D13" s="21"/>
    </row>
    <row r="14" spans="1:9" ht="25.5" customHeight="1">
      <c r="A14" s="430" t="s">
        <v>421</v>
      </c>
      <c r="B14" s="430"/>
      <c r="C14" s="430"/>
      <c r="D14" s="430"/>
      <c r="E14" s="430"/>
      <c r="F14" s="430"/>
    </row>
    <row r="15" spans="1:9">
      <c r="G15" s="65"/>
    </row>
    <row r="16" spans="1:9" ht="17.399999999999999">
      <c r="B16" s="428" t="s">
        <v>557</v>
      </c>
      <c r="C16" s="428"/>
      <c r="D16" s="428"/>
      <c r="E16" s="428"/>
      <c r="F16" s="428"/>
      <c r="G16" s="65"/>
    </row>
    <row r="17" spans="2:7">
      <c r="G17" s="65"/>
    </row>
    <row r="18" spans="2:7">
      <c r="B18" s="345" t="s">
        <v>145</v>
      </c>
      <c r="C18" s="346" t="s">
        <v>127</v>
      </c>
      <c r="D18" s="346" t="s">
        <v>652</v>
      </c>
      <c r="E18" s="346" t="s">
        <v>159</v>
      </c>
    </row>
    <row r="19" spans="2:7" ht="26.4">
      <c r="B19" s="347">
        <v>1</v>
      </c>
      <c r="C19" s="348" t="s">
        <v>335</v>
      </c>
      <c r="D19" s="386"/>
      <c r="E19" s="349">
        <f>MIN(F12,20000000)</f>
        <v>16830418.800000001</v>
      </c>
      <c r="F19" s="65"/>
    </row>
    <row r="20" spans="2:7">
      <c r="B20" s="347">
        <v>2</v>
      </c>
      <c r="C20" s="348" t="s">
        <v>158</v>
      </c>
      <c r="D20" s="380">
        <v>0.35</v>
      </c>
      <c r="E20" s="349">
        <f>SUM(D5:D10)*D20</f>
        <v>9817744.2999999989</v>
      </c>
      <c r="F20" s="21"/>
      <c r="G20" s="395"/>
    </row>
    <row r="21" spans="2:7">
      <c r="B21" s="347">
        <v>3</v>
      </c>
      <c r="C21" s="348" t="s">
        <v>134</v>
      </c>
      <c r="D21" s="349"/>
      <c r="E21" s="349">
        <f>D12-E19-E20</f>
        <v>2434289.6947004739</v>
      </c>
    </row>
    <row r="22" spans="2:7">
      <c r="B22" s="427" t="s">
        <v>1</v>
      </c>
      <c r="C22" s="427"/>
      <c r="D22" s="350"/>
      <c r="E22" s="350">
        <f>SUM(E19:E21)</f>
        <v>29082452.794700474</v>
      </c>
    </row>
    <row r="24" spans="2:7">
      <c r="B24" s="429" t="s">
        <v>422</v>
      </c>
      <c r="C24" s="429"/>
      <c r="D24" s="429"/>
      <c r="E24" s="429"/>
      <c r="F24" s="429"/>
    </row>
    <row r="26" spans="2:7" ht="17.399999999999999">
      <c r="B26" s="426" t="s">
        <v>558</v>
      </c>
      <c r="C26" s="426"/>
      <c r="D26" s="426"/>
      <c r="E26" s="426"/>
      <c r="F26" s="426"/>
    </row>
    <row r="27" spans="2:7">
      <c r="B27" s="357" t="s">
        <v>145</v>
      </c>
      <c r="C27" s="358" t="s">
        <v>608</v>
      </c>
      <c r="D27" s="359" t="s">
        <v>609</v>
      </c>
      <c r="E27" s="360" t="s">
        <v>610</v>
      </c>
      <c r="F27" s="424" t="s">
        <v>611</v>
      </c>
      <c r="G27" s="425"/>
    </row>
    <row r="28" spans="2:7" ht="26.4">
      <c r="B28" s="361">
        <v>1</v>
      </c>
      <c r="C28" s="348" t="s">
        <v>380</v>
      </c>
      <c r="D28" s="362">
        <f>'9. Financial indiacators'!C49</f>
        <v>0.55364727438057226</v>
      </c>
      <c r="E28" s="361" t="s">
        <v>381</v>
      </c>
      <c r="F28" s="368" t="s">
        <v>612</v>
      </c>
      <c r="G28" s="361" t="s">
        <v>382</v>
      </c>
    </row>
    <row r="29" spans="2:7" ht="39.6">
      <c r="B29" s="361">
        <v>2</v>
      </c>
      <c r="C29" s="348" t="s">
        <v>383</v>
      </c>
      <c r="D29" s="363">
        <f>'9. Financial indiacators'!C85</f>
        <v>0.5299206407697854</v>
      </c>
      <c r="E29" s="361" t="s">
        <v>381</v>
      </c>
      <c r="F29" s="368" t="s">
        <v>613</v>
      </c>
      <c r="G29" s="361" t="s">
        <v>384</v>
      </c>
    </row>
    <row r="30" spans="2:7" ht="39.6">
      <c r="B30" s="361">
        <v>3</v>
      </c>
      <c r="C30" s="348" t="s">
        <v>385</v>
      </c>
      <c r="D30" s="362">
        <f>'9. Financial indiacators'!C16</f>
        <v>0.11002986390258518</v>
      </c>
      <c r="E30" s="361" t="s">
        <v>381</v>
      </c>
      <c r="F30" s="368" t="s">
        <v>614</v>
      </c>
      <c r="G30" s="361" t="s">
        <v>386</v>
      </c>
    </row>
    <row r="31" spans="2:7" ht="66">
      <c r="B31" s="361">
        <v>4</v>
      </c>
      <c r="C31" s="348" t="s">
        <v>387</v>
      </c>
      <c r="D31" s="364">
        <f>'9. Financial indiacators'!C73</f>
        <v>458236.6674306374</v>
      </c>
      <c r="E31" s="361" t="s">
        <v>391</v>
      </c>
      <c r="F31" s="368" t="s">
        <v>615</v>
      </c>
      <c r="G31" s="361" t="s">
        <v>388</v>
      </c>
    </row>
    <row r="32" spans="2:7" ht="52.8">
      <c r="B32" s="361">
        <v>5</v>
      </c>
      <c r="C32" s="348" t="s">
        <v>389</v>
      </c>
      <c r="D32" s="365">
        <f>'9. Financial indiacators'!D101</f>
        <v>5.553119994905054</v>
      </c>
      <c r="E32" s="361" t="s">
        <v>381</v>
      </c>
      <c r="F32" s="368" t="s">
        <v>616</v>
      </c>
      <c r="G32" s="361" t="s">
        <v>392</v>
      </c>
    </row>
    <row r="33" spans="2:7" ht="39.6">
      <c r="B33" s="361">
        <v>6</v>
      </c>
      <c r="C33" s="366" t="s">
        <v>390</v>
      </c>
      <c r="D33" s="365">
        <f>'9. Financial indiacators'!C117</f>
        <v>2.1002159014963353</v>
      </c>
      <c r="E33" s="367" t="s">
        <v>381</v>
      </c>
      <c r="F33" s="368" t="s">
        <v>617</v>
      </c>
      <c r="G33" s="366" t="s">
        <v>393</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7"/>
  <sheetViews>
    <sheetView tabSelected="1" zoomScaleSheetLayoutView="80" workbookViewId="0">
      <selection activeCell="J50" sqref="J50:M67"/>
    </sheetView>
  </sheetViews>
  <sheetFormatPr defaultRowHeight="14.4"/>
  <cols>
    <col min="2" max="2" width="7.5546875" bestFit="1" customWidth="1"/>
    <col min="3" max="3" width="41.5546875" customWidth="1"/>
    <col min="4" max="4" width="12" bestFit="1" customWidth="1"/>
    <col min="5" max="5" width="17" customWidth="1"/>
    <col min="6" max="6" width="14" bestFit="1" customWidth="1"/>
    <col min="7" max="7" width="13.109375" bestFit="1" customWidth="1"/>
    <col min="8" max="8" width="12.109375" bestFit="1" customWidth="1"/>
    <col min="10" max="11" width="12.109375" bestFit="1" customWidth="1"/>
    <col min="12" max="12" width="12.88671875" bestFit="1" customWidth="1"/>
    <col min="13" max="13" width="14" bestFit="1" customWidth="1"/>
  </cols>
  <sheetData>
    <row r="2" spans="1:7" ht="17.399999999999999">
      <c r="A2">
        <v>2.1</v>
      </c>
      <c r="B2" s="428" t="s">
        <v>155</v>
      </c>
      <c r="C2" s="428"/>
      <c r="D2" s="428"/>
      <c r="E2" s="428"/>
      <c r="F2" s="428"/>
      <c r="G2" s="428"/>
    </row>
    <row r="4" spans="1:7">
      <c r="B4" s="212" t="s">
        <v>145</v>
      </c>
      <c r="C4" s="212" t="s">
        <v>127</v>
      </c>
      <c r="D4" s="212" t="s">
        <v>132</v>
      </c>
      <c r="E4" s="212" t="s">
        <v>146</v>
      </c>
      <c r="F4" s="212" t="s">
        <v>147</v>
      </c>
      <c r="G4" s="212" t="s">
        <v>159</v>
      </c>
    </row>
    <row r="5" spans="1:7">
      <c r="B5" s="261"/>
      <c r="C5" s="261" t="s">
        <v>148</v>
      </c>
      <c r="D5" s="261" t="s">
        <v>149</v>
      </c>
      <c r="E5" s="369"/>
      <c r="F5" s="370"/>
      <c r="G5" s="371" t="s">
        <v>150</v>
      </c>
    </row>
    <row r="6" spans="1:7">
      <c r="B6" s="261">
        <v>1</v>
      </c>
      <c r="C6" s="261" t="s">
        <v>697</v>
      </c>
      <c r="D6" s="262"/>
      <c r="E6" s="227">
        <v>1</v>
      </c>
      <c r="F6" s="228">
        <v>17073000</v>
      </c>
      <c r="G6" s="229">
        <v>17073000</v>
      </c>
    </row>
    <row r="7" spans="1:7">
      <c r="B7" s="261">
        <v>2</v>
      </c>
      <c r="C7" s="261" t="s">
        <v>720</v>
      </c>
      <c r="D7" s="262"/>
      <c r="E7" s="227">
        <v>1</v>
      </c>
      <c r="F7" s="228">
        <v>1000000</v>
      </c>
      <c r="G7" s="229">
        <f>F7</f>
        <v>1000000</v>
      </c>
    </row>
    <row r="8" spans="1:7">
      <c r="B8" s="261"/>
      <c r="C8" s="261"/>
      <c r="D8" s="262"/>
      <c r="E8" s="227"/>
      <c r="F8" s="228"/>
      <c r="G8" s="229">
        <f t="shared" ref="G8:G11" si="0">E8*F8</f>
        <v>0</v>
      </c>
    </row>
    <row r="9" spans="1:7">
      <c r="B9" s="261"/>
      <c r="C9" s="261"/>
      <c r="D9" s="262"/>
      <c r="E9" s="227"/>
      <c r="F9" s="228"/>
      <c r="G9" s="229">
        <f t="shared" si="0"/>
        <v>0</v>
      </c>
    </row>
    <row r="10" spans="1:7">
      <c r="B10" s="261"/>
      <c r="C10" s="261"/>
      <c r="D10" s="262"/>
      <c r="E10" s="227"/>
      <c r="F10" s="228"/>
      <c r="G10" s="229">
        <f t="shared" si="0"/>
        <v>0</v>
      </c>
    </row>
    <row r="11" spans="1:7">
      <c r="B11" s="261"/>
      <c r="C11" s="261"/>
      <c r="D11" s="262"/>
      <c r="E11" s="227"/>
      <c r="F11" s="228"/>
      <c r="G11" s="229">
        <f t="shared" si="0"/>
        <v>0</v>
      </c>
    </row>
    <row r="12" spans="1:7">
      <c r="B12" s="438" t="s">
        <v>1</v>
      </c>
      <c r="C12" s="438"/>
      <c r="D12" s="438"/>
      <c r="E12" s="438"/>
      <c r="F12" s="438"/>
      <c r="G12" s="226">
        <f>SUM(G6:G8)</f>
        <v>18073000</v>
      </c>
    </row>
    <row r="15" spans="1:7">
      <c r="B15" s="429" t="s">
        <v>417</v>
      </c>
      <c r="C15" s="429"/>
      <c r="D15" s="429"/>
      <c r="E15" s="429"/>
      <c r="F15" s="429"/>
      <c r="G15" s="429"/>
    </row>
    <row r="17" spans="1:11" ht="17.399999999999999">
      <c r="A17">
        <v>2.2000000000000002</v>
      </c>
      <c r="B17" s="428" t="s">
        <v>156</v>
      </c>
      <c r="C17" s="428"/>
      <c r="D17" s="428"/>
      <c r="E17" s="428"/>
      <c r="F17" s="428"/>
      <c r="G17" s="428"/>
      <c r="H17" s="428"/>
    </row>
    <row r="18" spans="1:11">
      <c r="B18" s="18"/>
    </row>
    <row r="19" spans="1:11">
      <c r="B19" s="320" t="s">
        <v>145</v>
      </c>
      <c r="C19" s="320" t="s">
        <v>151</v>
      </c>
      <c r="D19" s="320" t="s">
        <v>162</v>
      </c>
      <c r="E19" s="320" t="s">
        <v>152</v>
      </c>
      <c r="F19" s="320" t="s">
        <v>153</v>
      </c>
      <c r="G19" s="320" t="s">
        <v>159</v>
      </c>
      <c r="H19" s="320" t="s">
        <v>154</v>
      </c>
    </row>
    <row r="20" spans="1:11">
      <c r="B20" s="237"/>
      <c r="C20" s="230"/>
      <c r="D20" s="230"/>
      <c r="E20" s="230"/>
      <c r="F20" s="230"/>
      <c r="G20" s="231"/>
      <c r="H20" s="230"/>
    </row>
    <row r="21" spans="1:11">
      <c r="B21" s="233" t="s">
        <v>174</v>
      </c>
      <c r="C21" s="232" t="s">
        <v>366</v>
      </c>
      <c r="D21" s="232"/>
      <c r="E21" s="233"/>
      <c r="F21" s="234"/>
      <c r="G21" s="231">
        <f t="shared" ref="G21:G28" si="1">E21*F21</f>
        <v>0</v>
      </c>
      <c r="H21" s="235"/>
    </row>
    <row r="22" spans="1:11">
      <c r="B22" s="401">
        <v>1</v>
      </c>
      <c r="C22" s="261" t="s">
        <v>700</v>
      </c>
      <c r="D22" s="232">
        <v>1</v>
      </c>
      <c r="E22" s="401">
        <v>1</v>
      </c>
      <c r="F22" s="234">
        <v>840000</v>
      </c>
      <c r="G22" s="231">
        <f t="shared" si="1"/>
        <v>840000</v>
      </c>
      <c r="H22" s="235"/>
      <c r="K22" s="65"/>
    </row>
    <row r="23" spans="1:11">
      <c r="B23" s="401">
        <f t="shared" ref="B23:B27" si="2">B22+1</f>
        <v>2</v>
      </c>
      <c r="C23" s="261" t="s">
        <v>742</v>
      </c>
      <c r="D23" s="232">
        <v>1</v>
      </c>
      <c r="E23" s="401">
        <v>1</v>
      </c>
      <c r="F23" s="234">
        <v>245000</v>
      </c>
      <c r="G23" s="231">
        <f t="shared" si="1"/>
        <v>245000</v>
      </c>
      <c r="H23" s="235"/>
      <c r="K23" s="65"/>
    </row>
    <row r="24" spans="1:11">
      <c r="B24" s="401">
        <f t="shared" si="2"/>
        <v>3</v>
      </c>
      <c r="C24" s="261" t="s">
        <v>743</v>
      </c>
      <c r="D24" s="232">
        <v>1</v>
      </c>
      <c r="E24" s="401">
        <v>1</v>
      </c>
      <c r="F24" s="234">
        <v>69000</v>
      </c>
      <c r="G24" s="231">
        <f t="shared" si="1"/>
        <v>69000</v>
      </c>
      <c r="H24" s="235"/>
      <c r="K24" s="65"/>
    </row>
    <row r="25" spans="1:11">
      <c r="B25" s="401">
        <f t="shared" si="2"/>
        <v>4</v>
      </c>
      <c r="C25" s="261" t="s">
        <v>744</v>
      </c>
      <c r="D25" s="232">
        <v>1</v>
      </c>
      <c r="E25" s="401">
        <v>1</v>
      </c>
      <c r="F25" s="234">
        <v>42000</v>
      </c>
      <c r="G25" s="231">
        <f t="shared" si="1"/>
        <v>42000</v>
      </c>
      <c r="H25" s="235"/>
      <c r="K25" s="65"/>
    </row>
    <row r="26" spans="1:11">
      <c r="B26" s="401">
        <f t="shared" si="2"/>
        <v>5</v>
      </c>
      <c r="C26" s="261" t="s">
        <v>745</v>
      </c>
      <c r="D26" s="232">
        <v>1</v>
      </c>
      <c r="E26" s="401">
        <v>1</v>
      </c>
      <c r="F26" s="234">
        <v>55000</v>
      </c>
      <c r="G26" s="231">
        <f t="shared" si="1"/>
        <v>55000</v>
      </c>
      <c r="H26" s="235"/>
      <c r="K26" s="65"/>
    </row>
    <row r="27" spans="1:11">
      <c r="B27" s="401">
        <f t="shared" si="2"/>
        <v>6</v>
      </c>
      <c r="C27" s="238" t="s">
        <v>707</v>
      </c>
      <c r="D27" s="232">
        <v>1</v>
      </c>
      <c r="E27" s="401">
        <v>1</v>
      </c>
      <c r="F27" s="234">
        <v>120000</v>
      </c>
      <c r="G27" s="231">
        <f t="shared" si="1"/>
        <v>120000</v>
      </c>
      <c r="H27" s="235"/>
      <c r="K27" s="65"/>
    </row>
    <row r="28" spans="1:11">
      <c r="B28" s="401">
        <v>7</v>
      </c>
      <c r="C28" s="261" t="s">
        <v>699</v>
      </c>
      <c r="D28" s="232">
        <v>1</v>
      </c>
      <c r="E28" s="401">
        <v>1</v>
      </c>
      <c r="F28" s="234">
        <v>325500</v>
      </c>
      <c r="G28" s="231">
        <f t="shared" si="1"/>
        <v>325500</v>
      </c>
      <c r="H28" s="235"/>
      <c r="K28" s="65"/>
    </row>
    <row r="29" spans="1:11">
      <c r="B29" s="401">
        <v>8</v>
      </c>
      <c r="C29" s="238" t="s">
        <v>709</v>
      </c>
      <c r="D29" s="232">
        <v>1</v>
      </c>
      <c r="E29" s="401">
        <v>1</v>
      </c>
      <c r="F29" s="234">
        <v>77000</v>
      </c>
      <c r="G29" s="231">
        <f>E29*F29</f>
        <v>77000</v>
      </c>
      <c r="H29" s="235"/>
      <c r="K29" s="65"/>
    </row>
    <row r="30" spans="1:11">
      <c r="B30" s="233">
        <v>9</v>
      </c>
      <c r="C30" s="238" t="s">
        <v>746</v>
      </c>
      <c r="D30" s="232">
        <v>1</v>
      </c>
      <c r="E30" s="401">
        <v>1</v>
      </c>
      <c r="F30" s="234">
        <v>27000</v>
      </c>
      <c r="G30" s="231">
        <f>E30*F30</f>
        <v>27000</v>
      </c>
      <c r="H30" s="235"/>
      <c r="K30" s="65"/>
    </row>
    <row r="31" spans="1:11">
      <c r="B31" s="233"/>
      <c r="C31" s="232"/>
      <c r="D31" s="233"/>
      <c r="E31" s="233"/>
      <c r="F31" s="234"/>
      <c r="G31" s="231"/>
      <c r="H31" s="235"/>
    </row>
    <row r="32" spans="1:11">
      <c r="B32" s="434" t="s">
        <v>172</v>
      </c>
      <c r="C32" s="434"/>
      <c r="D32" s="233"/>
      <c r="E32" s="233"/>
      <c r="F32" s="236"/>
      <c r="G32" s="236">
        <f>SUM(G21:G31)</f>
        <v>1800500</v>
      </c>
      <c r="H32" s="231">
        <f>SUM(H21:H31)</f>
        <v>0</v>
      </c>
    </row>
    <row r="33" spans="2:8">
      <c r="B33" s="233" t="s">
        <v>175</v>
      </c>
      <c r="C33" s="232" t="s">
        <v>294</v>
      </c>
      <c r="D33" s="237"/>
      <c r="E33" s="237"/>
      <c r="F33" s="231"/>
      <c r="G33" s="231"/>
      <c r="H33" s="230"/>
    </row>
    <row r="34" spans="2:8">
      <c r="B34" s="237"/>
      <c r="C34" s="238"/>
      <c r="D34" s="238"/>
      <c r="E34" s="237"/>
      <c r="F34" s="231"/>
      <c r="G34" s="231">
        <f t="shared" ref="G34:G39" si="3">E34*F34</f>
        <v>0</v>
      </c>
      <c r="H34" s="230"/>
    </row>
    <row r="35" spans="2:8">
      <c r="B35" s="237"/>
      <c r="C35" s="238"/>
      <c r="D35" s="237"/>
      <c r="E35" s="237"/>
      <c r="F35" s="231"/>
      <c r="G35" s="231">
        <f t="shared" si="3"/>
        <v>0</v>
      </c>
      <c r="H35" s="230"/>
    </row>
    <row r="36" spans="2:8">
      <c r="B36" s="237"/>
      <c r="C36" s="238"/>
      <c r="D36" s="237"/>
      <c r="E36" s="237"/>
      <c r="F36" s="231"/>
      <c r="G36" s="231">
        <f t="shared" si="3"/>
        <v>0</v>
      </c>
      <c r="H36" s="230"/>
    </row>
    <row r="37" spans="2:8">
      <c r="B37" s="237"/>
      <c r="C37" s="238"/>
      <c r="D37" s="237"/>
      <c r="E37" s="237"/>
      <c r="F37" s="231"/>
      <c r="G37" s="231">
        <f t="shared" si="3"/>
        <v>0</v>
      </c>
      <c r="H37" s="230"/>
    </row>
    <row r="38" spans="2:8">
      <c r="B38" s="237"/>
      <c r="C38" s="238"/>
      <c r="D38" s="237"/>
      <c r="E38" s="237"/>
      <c r="F38" s="231"/>
      <c r="G38" s="231">
        <f t="shared" si="3"/>
        <v>0</v>
      </c>
      <c r="H38" s="230"/>
    </row>
    <row r="39" spans="2:8">
      <c r="B39" s="237"/>
      <c r="C39" s="238"/>
      <c r="D39" s="237"/>
      <c r="E39" s="237"/>
      <c r="F39" s="231"/>
      <c r="G39" s="231">
        <f t="shared" si="3"/>
        <v>0</v>
      </c>
      <c r="H39" s="230"/>
    </row>
    <row r="40" spans="2:8">
      <c r="B40" s="237"/>
      <c r="C40" s="238"/>
      <c r="D40" s="237"/>
      <c r="E40" s="237"/>
      <c r="F40" s="231"/>
      <c r="G40" s="231">
        <f t="shared" ref="G40:G46" si="4">F40</f>
        <v>0</v>
      </c>
      <c r="H40" s="230"/>
    </row>
    <row r="41" spans="2:8">
      <c r="B41" s="237"/>
      <c r="C41" s="238"/>
      <c r="D41" s="237"/>
      <c r="E41" s="237"/>
      <c r="F41" s="231"/>
      <c r="G41" s="231">
        <f t="shared" si="4"/>
        <v>0</v>
      </c>
      <c r="H41" s="230"/>
    </row>
    <row r="42" spans="2:8">
      <c r="B42" s="237"/>
      <c r="C42" s="238"/>
      <c r="D42" s="237"/>
      <c r="E42" s="237"/>
      <c r="F42" s="231"/>
      <c r="G42" s="231">
        <f t="shared" si="4"/>
        <v>0</v>
      </c>
      <c r="H42" s="230"/>
    </row>
    <row r="43" spans="2:8">
      <c r="B43" s="237"/>
      <c r="C43" s="238"/>
      <c r="D43" s="237"/>
      <c r="E43" s="237"/>
      <c r="F43" s="231"/>
      <c r="G43" s="231">
        <f t="shared" si="4"/>
        <v>0</v>
      </c>
      <c r="H43" s="230"/>
    </row>
    <row r="44" spans="2:8">
      <c r="B44" s="237"/>
      <c r="C44" s="238"/>
      <c r="D44" s="237"/>
      <c r="E44" s="237"/>
      <c r="F44" s="231"/>
      <c r="G44" s="231">
        <f t="shared" si="4"/>
        <v>0</v>
      </c>
      <c r="H44" s="230"/>
    </row>
    <row r="45" spans="2:8">
      <c r="B45" s="237"/>
      <c r="C45" s="238"/>
      <c r="D45" s="237"/>
      <c r="E45" s="237"/>
      <c r="F45" s="231"/>
      <c r="G45" s="231">
        <f t="shared" si="4"/>
        <v>0</v>
      </c>
      <c r="H45" s="230"/>
    </row>
    <row r="46" spans="2:8">
      <c r="B46" s="237"/>
      <c r="C46" s="238"/>
      <c r="D46" s="237"/>
      <c r="E46" s="237"/>
      <c r="F46" s="231"/>
      <c r="G46" s="231">
        <f t="shared" si="4"/>
        <v>0</v>
      </c>
      <c r="H46" s="230"/>
    </row>
    <row r="47" spans="2:8">
      <c r="B47" s="434" t="s">
        <v>172</v>
      </c>
      <c r="C47" s="434"/>
      <c r="D47" s="233"/>
      <c r="E47" s="233"/>
      <c r="F47" s="236"/>
      <c r="G47" s="236">
        <f>SUM(G34:G46)</f>
        <v>0</v>
      </c>
      <c r="H47" s="236">
        <f>SUM(H34:H46)</f>
        <v>0</v>
      </c>
    </row>
    <row r="48" spans="2:8">
      <c r="B48" s="237"/>
      <c r="C48" s="238"/>
      <c r="D48" s="237"/>
      <c r="E48" s="237"/>
      <c r="F48" s="231"/>
      <c r="G48" s="231"/>
      <c r="H48" s="230"/>
    </row>
    <row r="49" spans="2:13">
      <c r="B49" s="233" t="s">
        <v>176</v>
      </c>
      <c r="C49" s="232" t="s">
        <v>367</v>
      </c>
      <c r="D49" s="237"/>
      <c r="E49" s="237"/>
      <c r="F49" s="231"/>
      <c r="G49" s="231">
        <f t="shared" ref="G49:G54" si="5">E49*F49</f>
        <v>0</v>
      </c>
      <c r="H49" s="230"/>
    </row>
    <row r="50" spans="2:13">
      <c r="B50" s="237">
        <v>1</v>
      </c>
      <c r="C50" s="238" t="s">
        <v>747</v>
      </c>
      <c r="D50" s="237"/>
      <c r="E50" s="237">
        <v>1</v>
      </c>
      <c r="F50" s="231">
        <v>22575</v>
      </c>
      <c r="G50" s="231">
        <f>E50*F50</f>
        <v>22575</v>
      </c>
      <c r="H50" s="230"/>
      <c r="L50" s="403"/>
      <c r="M50" s="395"/>
    </row>
    <row r="51" spans="2:13">
      <c r="B51" s="237">
        <v>2</v>
      </c>
      <c r="C51" s="238" t="s">
        <v>748</v>
      </c>
      <c r="D51" s="237" t="s">
        <v>765</v>
      </c>
      <c r="E51" s="237">
        <v>1</v>
      </c>
      <c r="F51" s="231">
        <v>126000</v>
      </c>
      <c r="G51" s="231">
        <f>E51*F51</f>
        <v>126000</v>
      </c>
      <c r="H51" s="230"/>
      <c r="J51" s="402"/>
      <c r="L51" s="403"/>
      <c r="M51" s="395"/>
    </row>
    <row r="52" spans="2:13">
      <c r="B52" s="237">
        <v>3</v>
      </c>
      <c r="C52" s="238" t="s">
        <v>749</v>
      </c>
      <c r="D52" s="237" t="s">
        <v>765</v>
      </c>
      <c r="E52" s="237">
        <v>1</v>
      </c>
      <c r="F52" s="231">
        <v>593250</v>
      </c>
      <c r="G52" s="231">
        <f t="shared" si="5"/>
        <v>593250</v>
      </c>
      <c r="H52" s="230"/>
      <c r="J52" s="402"/>
      <c r="L52" s="403"/>
      <c r="M52" s="395"/>
    </row>
    <row r="53" spans="2:13">
      <c r="B53" s="237">
        <v>4</v>
      </c>
      <c r="C53" s="238" t="s">
        <v>750</v>
      </c>
      <c r="D53" s="237" t="s">
        <v>765</v>
      </c>
      <c r="E53" s="237">
        <v>1</v>
      </c>
      <c r="F53" s="231">
        <v>112350</v>
      </c>
      <c r="G53" s="231">
        <f t="shared" si="5"/>
        <v>112350</v>
      </c>
      <c r="H53" s="230"/>
      <c r="J53" s="402"/>
      <c r="L53" s="403"/>
      <c r="M53" s="395"/>
    </row>
    <row r="54" spans="2:13">
      <c r="B54" s="237">
        <v>5</v>
      </c>
      <c r="C54" s="238" t="s">
        <v>751</v>
      </c>
      <c r="D54" s="237" t="s">
        <v>765</v>
      </c>
      <c r="E54" s="237">
        <v>1</v>
      </c>
      <c r="F54" s="231">
        <v>577500</v>
      </c>
      <c r="G54" s="231">
        <f t="shared" si="5"/>
        <v>577500</v>
      </c>
      <c r="H54" s="230"/>
      <c r="J54" s="402"/>
      <c r="L54" s="403"/>
      <c r="M54" s="395"/>
    </row>
    <row r="55" spans="2:13">
      <c r="B55" s="237">
        <v>6</v>
      </c>
      <c r="C55" s="238" t="s">
        <v>752</v>
      </c>
      <c r="D55" s="237"/>
      <c r="E55" s="237">
        <v>1</v>
      </c>
      <c r="F55" s="231">
        <v>204750</v>
      </c>
      <c r="G55" s="231">
        <f t="shared" ref="G55:G66" si="6">E55*F55</f>
        <v>204750</v>
      </c>
      <c r="H55" s="230"/>
      <c r="J55" s="402"/>
      <c r="L55" s="403"/>
      <c r="M55" s="395"/>
    </row>
    <row r="56" spans="2:13">
      <c r="B56" s="237">
        <v>7</v>
      </c>
      <c r="C56" s="238" t="s">
        <v>753</v>
      </c>
      <c r="D56" s="237"/>
      <c r="E56" s="237">
        <v>1</v>
      </c>
      <c r="F56" s="231">
        <v>26250</v>
      </c>
      <c r="G56" s="231">
        <f t="shared" si="6"/>
        <v>26250</v>
      </c>
      <c r="H56" s="230"/>
      <c r="J56" s="402"/>
      <c r="L56" s="403"/>
      <c r="M56" s="395"/>
    </row>
    <row r="57" spans="2:13">
      <c r="B57" s="237">
        <v>8</v>
      </c>
      <c r="C57" s="238" t="s">
        <v>754</v>
      </c>
      <c r="D57" s="237" t="s">
        <v>765</v>
      </c>
      <c r="E57" s="237">
        <v>1</v>
      </c>
      <c r="F57" s="231">
        <v>122850</v>
      </c>
      <c r="G57" s="231">
        <f t="shared" si="6"/>
        <v>122850</v>
      </c>
      <c r="H57" s="230"/>
      <c r="J57" s="402"/>
      <c r="L57" s="403"/>
      <c r="M57" s="395"/>
    </row>
    <row r="58" spans="2:13">
      <c r="B58" s="237">
        <v>9</v>
      </c>
      <c r="C58" s="238" t="s">
        <v>755</v>
      </c>
      <c r="D58" s="237" t="s">
        <v>766</v>
      </c>
      <c r="E58" s="237">
        <v>1</v>
      </c>
      <c r="F58" s="231">
        <v>729750</v>
      </c>
      <c r="G58" s="231">
        <f t="shared" si="6"/>
        <v>729750</v>
      </c>
      <c r="H58" s="230"/>
      <c r="J58" s="402"/>
      <c r="L58" s="403"/>
      <c r="M58" s="395"/>
    </row>
    <row r="59" spans="2:13">
      <c r="B59" s="237">
        <v>10</v>
      </c>
      <c r="C59" s="238" t="s">
        <v>756</v>
      </c>
      <c r="D59" s="237"/>
      <c r="E59" s="237">
        <v>1</v>
      </c>
      <c r="F59" s="231">
        <v>152250</v>
      </c>
      <c r="G59" s="231">
        <f t="shared" si="6"/>
        <v>152250</v>
      </c>
      <c r="H59" s="230"/>
      <c r="J59" s="402"/>
      <c r="L59" s="403"/>
      <c r="M59" s="395"/>
    </row>
    <row r="60" spans="2:13">
      <c r="B60" s="237">
        <v>11</v>
      </c>
      <c r="C60" s="238" t="s">
        <v>757</v>
      </c>
      <c r="D60" s="237"/>
      <c r="E60" s="237">
        <v>1</v>
      </c>
      <c r="F60" s="231">
        <v>152250</v>
      </c>
      <c r="G60" s="231">
        <f t="shared" si="6"/>
        <v>152250</v>
      </c>
      <c r="H60" s="230"/>
      <c r="J60" s="402"/>
      <c r="L60" s="403"/>
      <c r="M60" s="395"/>
    </row>
    <row r="61" spans="2:13">
      <c r="B61" s="237">
        <v>12</v>
      </c>
      <c r="C61" s="238" t="s">
        <v>758</v>
      </c>
      <c r="D61" s="237"/>
      <c r="E61" s="237">
        <v>1</v>
      </c>
      <c r="F61" s="231">
        <v>183750</v>
      </c>
      <c r="G61" s="231">
        <f t="shared" si="6"/>
        <v>183750</v>
      </c>
      <c r="H61" s="230"/>
      <c r="J61" s="402"/>
      <c r="L61" s="403"/>
      <c r="M61" s="395"/>
    </row>
    <row r="62" spans="2:13">
      <c r="B62" s="237">
        <v>13</v>
      </c>
      <c r="C62" s="238" t="s">
        <v>759</v>
      </c>
      <c r="D62" s="237" t="s">
        <v>760</v>
      </c>
      <c r="E62" s="237">
        <v>1</v>
      </c>
      <c r="F62" s="231">
        <v>1464750</v>
      </c>
      <c r="G62" s="231">
        <f t="shared" si="6"/>
        <v>1464750</v>
      </c>
      <c r="H62" s="230"/>
      <c r="J62" s="402"/>
      <c r="L62" s="403"/>
      <c r="M62" s="395"/>
    </row>
    <row r="63" spans="2:13">
      <c r="B63" s="237">
        <v>14</v>
      </c>
      <c r="C63" s="238" t="s">
        <v>761</v>
      </c>
      <c r="D63" s="237" t="s">
        <v>762</v>
      </c>
      <c r="E63" s="237">
        <v>1</v>
      </c>
      <c r="F63" s="231">
        <v>684400</v>
      </c>
      <c r="G63" s="231">
        <f t="shared" si="6"/>
        <v>684400</v>
      </c>
      <c r="H63" s="230"/>
      <c r="J63" s="402"/>
      <c r="L63" s="403"/>
      <c r="M63" s="395"/>
    </row>
    <row r="64" spans="2:13">
      <c r="B64" s="237">
        <v>15</v>
      </c>
      <c r="C64" s="238" t="s">
        <v>698</v>
      </c>
      <c r="D64" s="237" t="s">
        <v>763</v>
      </c>
      <c r="E64" s="237">
        <v>1</v>
      </c>
      <c r="F64" s="231">
        <v>604663</v>
      </c>
      <c r="G64" s="231">
        <f t="shared" si="6"/>
        <v>604663</v>
      </c>
      <c r="H64" s="230"/>
      <c r="L64" s="402"/>
      <c r="M64" s="395"/>
    </row>
    <row r="65" spans="2:13">
      <c r="B65" s="237">
        <v>16</v>
      </c>
      <c r="C65" s="238" t="s">
        <v>764</v>
      </c>
      <c r="D65" s="237"/>
      <c r="E65" s="237">
        <v>1</v>
      </c>
      <c r="F65" s="231">
        <v>312780</v>
      </c>
      <c r="G65" s="231">
        <f t="shared" si="6"/>
        <v>312780</v>
      </c>
      <c r="H65" s="230"/>
      <c r="L65" s="402"/>
      <c r="M65" s="395"/>
    </row>
    <row r="66" spans="2:13">
      <c r="B66" s="237">
        <v>17</v>
      </c>
      <c r="C66" s="238" t="s">
        <v>767</v>
      </c>
      <c r="D66" s="237" t="s">
        <v>768</v>
      </c>
      <c r="E66" s="237">
        <v>1</v>
      </c>
      <c r="F66" s="231">
        <v>749300</v>
      </c>
      <c r="G66" s="231">
        <f t="shared" si="6"/>
        <v>749300</v>
      </c>
      <c r="H66" s="230"/>
      <c r="J66" s="402"/>
      <c r="L66" s="402"/>
      <c r="M66" s="395"/>
    </row>
    <row r="67" spans="2:13">
      <c r="B67" s="237"/>
      <c r="C67" s="238"/>
      <c r="D67" s="238"/>
      <c r="E67" s="237"/>
      <c r="F67" s="231"/>
      <c r="G67" s="231"/>
      <c r="H67" s="230"/>
      <c r="L67" s="403"/>
      <c r="M67" s="395"/>
    </row>
    <row r="68" spans="2:13">
      <c r="B68" s="237"/>
      <c r="C68" s="238"/>
      <c r="D68" s="238"/>
      <c r="E68" s="237"/>
      <c r="F68" s="231"/>
      <c r="G68" s="231"/>
      <c r="H68" s="230">
        <v>60</v>
      </c>
    </row>
    <row r="69" spans="2:13">
      <c r="B69" s="434" t="s">
        <v>172</v>
      </c>
      <c r="C69" s="434"/>
      <c r="D69" s="238"/>
      <c r="E69" s="237"/>
      <c r="F69" s="231"/>
      <c r="G69" s="236">
        <f>SUM(G49:G68)</f>
        <v>6819418</v>
      </c>
      <c r="H69" s="231">
        <f>SUM(H49:H68)</f>
        <v>60</v>
      </c>
    </row>
    <row r="70" spans="2:13">
      <c r="B70" s="233"/>
      <c r="C70" s="233"/>
      <c r="D70" s="238"/>
      <c r="E70" s="237"/>
      <c r="F70" s="231"/>
      <c r="G70" s="231"/>
      <c r="H70" s="231"/>
    </row>
    <row r="71" spans="2:13">
      <c r="B71" s="233" t="s">
        <v>177</v>
      </c>
      <c r="C71" s="389" t="s">
        <v>710</v>
      </c>
      <c r="D71" s="238"/>
      <c r="E71" s="237"/>
      <c r="F71" s="231"/>
      <c r="G71" s="231">
        <f>E71*F71</f>
        <v>0</v>
      </c>
      <c r="H71" s="231"/>
    </row>
    <row r="72" spans="2:13">
      <c r="B72" s="237"/>
      <c r="C72" s="238"/>
      <c r="D72" s="237"/>
      <c r="E72" s="237"/>
      <c r="F72" s="231"/>
      <c r="G72" s="231"/>
      <c r="H72" s="231"/>
    </row>
    <row r="73" spans="2:13">
      <c r="B73" s="237"/>
      <c r="C73" s="238"/>
      <c r="D73" s="237"/>
      <c r="E73" s="237"/>
      <c r="F73" s="231"/>
      <c r="G73" s="231"/>
      <c r="H73" s="231"/>
    </row>
    <row r="74" spans="2:13">
      <c r="B74" s="237"/>
      <c r="C74" s="238"/>
      <c r="D74" s="237"/>
      <c r="E74" s="237"/>
      <c r="F74" s="231"/>
      <c r="G74" s="231"/>
      <c r="H74" s="230"/>
    </row>
    <row r="75" spans="2:13">
      <c r="B75" s="434" t="s">
        <v>172</v>
      </c>
      <c r="C75" s="434"/>
      <c r="D75" s="238"/>
      <c r="E75" s="237"/>
      <c r="F75" s="231"/>
      <c r="G75" s="231">
        <f>SUM(G71:G74)</f>
        <v>0</v>
      </c>
      <c r="H75" s="231">
        <f>SUM(H71:H74)</f>
        <v>0</v>
      </c>
    </row>
    <row r="76" spans="2:13">
      <c r="B76" s="237"/>
      <c r="C76" s="238"/>
      <c r="D76" s="238"/>
      <c r="E76" s="237"/>
      <c r="F76" s="231"/>
      <c r="G76" s="231"/>
      <c r="H76" s="230"/>
    </row>
    <row r="77" spans="2:13">
      <c r="B77" s="435" t="s">
        <v>1</v>
      </c>
      <c r="C77" s="435"/>
      <c r="D77" s="435"/>
      <c r="E77" s="435"/>
      <c r="F77" s="435"/>
      <c r="G77" s="225">
        <f>G69+G47+G32+G75</f>
        <v>8619918</v>
      </c>
      <c r="H77" s="225">
        <f>H47+H21+H69+H75</f>
        <v>60</v>
      </c>
    </row>
    <row r="78" spans="2:13">
      <c r="B78" s="18"/>
      <c r="G78" s="17"/>
    </row>
    <row r="79" spans="2:13">
      <c r="B79" s="429" t="s">
        <v>418</v>
      </c>
      <c r="C79" s="429"/>
      <c r="D79" s="429"/>
      <c r="E79" s="429"/>
      <c r="F79" s="429"/>
      <c r="G79" s="429"/>
      <c r="H79" s="429"/>
    </row>
    <row r="80" spans="2:13">
      <c r="B80" s="18"/>
      <c r="G80" s="17"/>
      <c r="I80" s="18"/>
      <c r="J80" s="18"/>
      <c r="K80" s="19"/>
    </row>
    <row r="83" spans="1:7" ht="17.399999999999999">
      <c r="A83">
        <v>2.2999999999999998</v>
      </c>
      <c r="B83" s="428" t="s">
        <v>378</v>
      </c>
      <c r="C83" s="428"/>
      <c r="D83" s="428"/>
      <c r="E83" s="428"/>
      <c r="F83" s="428"/>
    </row>
    <row r="85" spans="1:7" ht="28.8">
      <c r="B85" s="22" t="s">
        <v>145</v>
      </c>
      <c r="C85" s="55" t="s">
        <v>127</v>
      </c>
      <c r="D85" s="55" t="s">
        <v>152</v>
      </c>
      <c r="E85" s="55" t="s">
        <v>153</v>
      </c>
      <c r="F85" s="55" t="s">
        <v>159</v>
      </c>
    </row>
    <row r="86" spans="1:7">
      <c r="B86" s="239">
        <v>1</v>
      </c>
      <c r="C86" s="238" t="s">
        <v>704</v>
      </c>
      <c r="D86" s="239">
        <v>1</v>
      </c>
      <c r="E86" s="240">
        <v>102900</v>
      </c>
      <c r="F86" s="241">
        <f t="shared" ref="F86:F91" si="7">D86*E86</f>
        <v>102900</v>
      </c>
    </row>
    <row r="87" spans="1:7">
      <c r="B87" s="239"/>
      <c r="C87" s="263"/>
      <c r="D87" s="239"/>
      <c r="E87" s="240"/>
      <c r="F87" s="241">
        <f t="shared" si="7"/>
        <v>0</v>
      </c>
    </row>
    <row r="88" spans="1:7">
      <c r="B88" s="239"/>
      <c r="C88" s="263"/>
      <c r="D88" s="239"/>
      <c r="E88" s="240"/>
      <c r="F88" s="241">
        <f t="shared" si="7"/>
        <v>0</v>
      </c>
    </row>
    <row r="89" spans="1:7">
      <c r="B89" s="239"/>
      <c r="C89" s="263"/>
      <c r="D89" s="239"/>
      <c r="E89" s="240"/>
      <c r="F89" s="241">
        <f t="shared" si="7"/>
        <v>0</v>
      </c>
    </row>
    <row r="90" spans="1:7">
      <c r="B90" s="239"/>
      <c r="C90" s="263"/>
      <c r="D90" s="239"/>
      <c r="E90" s="240"/>
      <c r="F90" s="241">
        <f t="shared" si="7"/>
        <v>0</v>
      </c>
    </row>
    <row r="91" spans="1:7">
      <c r="B91" s="239"/>
      <c r="C91" s="263"/>
      <c r="D91" s="239"/>
      <c r="E91" s="240"/>
      <c r="F91" s="241">
        <f t="shared" si="7"/>
        <v>0</v>
      </c>
    </row>
    <row r="92" spans="1:7">
      <c r="B92" s="437" t="s">
        <v>1</v>
      </c>
      <c r="C92" s="437"/>
      <c r="D92" s="437"/>
      <c r="E92" s="437"/>
      <c r="F92" s="20">
        <f>SUM(F86:F91)</f>
        <v>102900</v>
      </c>
    </row>
    <row r="94" spans="1:7">
      <c r="A94" s="429" t="s">
        <v>419</v>
      </c>
      <c r="B94" s="429"/>
      <c r="C94" s="429"/>
      <c r="D94" s="429"/>
      <c r="E94" s="429"/>
      <c r="F94" s="429"/>
      <c r="G94" s="429"/>
    </row>
    <row r="97" spans="1:7" ht="17.399999999999999">
      <c r="A97">
        <v>2.4</v>
      </c>
      <c r="B97" s="428" t="s">
        <v>377</v>
      </c>
      <c r="C97" s="428"/>
      <c r="D97" s="428"/>
      <c r="E97" s="428"/>
      <c r="F97" s="428"/>
    </row>
    <row r="99" spans="1:7" ht="28.8">
      <c r="B99" s="22" t="s">
        <v>145</v>
      </c>
      <c r="C99" s="59" t="s">
        <v>127</v>
      </c>
      <c r="D99" s="59" t="s">
        <v>152</v>
      </c>
      <c r="E99" s="59" t="s">
        <v>153</v>
      </c>
      <c r="F99" s="59" t="s">
        <v>159</v>
      </c>
    </row>
    <row r="100" spans="1:7">
      <c r="B100" s="239"/>
      <c r="C100" s="263"/>
      <c r="D100" s="239"/>
      <c r="E100" s="240"/>
      <c r="F100" s="241"/>
    </row>
    <row r="101" spans="1:7">
      <c r="B101" s="239">
        <v>1</v>
      </c>
      <c r="C101" s="263" t="s">
        <v>701</v>
      </c>
      <c r="D101" s="239">
        <v>1</v>
      </c>
      <c r="E101" s="240">
        <v>105180</v>
      </c>
      <c r="F101" s="241">
        <f t="shared" ref="F101:F105" si="8">D101*E101</f>
        <v>105180</v>
      </c>
    </row>
    <row r="102" spans="1:7">
      <c r="B102" s="239">
        <v>2</v>
      </c>
      <c r="C102" s="263" t="s">
        <v>702</v>
      </c>
      <c r="D102" s="239">
        <v>1</v>
      </c>
      <c r="E102" s="240">
        <v>185800</v>
      </c>
      <c r="F102" s="241">
        <f t="shared" si="8"/>
        <v>185800</v>
      </c>
    </row>
    <row r="103" spans="1:7">
      <c r="B103" s="239"/>
      <c r="C103" s="263"/>
      <c r="D103" s="239"/>
      <c r="E103" s="240"/>
      <c r="F103" s="241">
        <f t="shared" si="8"/>
        <v>0</v>
      </c>
    </row>
    <row r="104" spans="1:7">
      <c r="B104" s="239"/>
      <c r="C104" s="263"/>
      <c r="D104" s="239"/>
      <c r="E104" s="240"/>
      <c r="F104" s="241">
        <f t="shared" si="8"/>
        <v>0</v>
      </c>
    </row>
    <row r="105" spans="1:7">
      <c r="B105" s="239"/>
      <c r="C105" s="263"/>
      <c r="D105" s="239"/>
      <c r="E105" s="240"/>
      <c r="F105" s="241">
        <f t="shared" si="8"/>
        <v>0</v>
      </c>
    </row>
    <row r="106" spans="1:7">
      <c r="B106" s="437" t="s">
        <v>1</v>
      </c>
      <c r="C106" s="437"/>
      <c r="D106" s="437"/>
      <c r="E106" s="437"/>
      <c r="F106" s="20">
        <f>SUM(F100:F105)</f>
        <v>290980</v>
      </c>
    </row>
    <row r="108" spans="1:7">
      <c r="A108" s="429" t="s">
        <v>711</v>
      </c>
      <c r="B108" s="429"/>
      <c r="C108" s="429"/>
      <c r="D108" s="429"/>
      <c r="E108" s="429"/>
      <c r="F108" s="429"/>
      <c r="G108" s="429"/>
    </row>
    <row r="111" spans="1:7" ht="17.399999999999999">
      <c r="A111">
        <v>2.5</v>
      </c>
      <c r="B111" s="428" t="s">
        <v>645</v>
      </c>
      <c r="C111" s="428"/>
      <c r="D111" s="428"/>
      <c r="E111" s="428"/>
      <c r="F111" s="428"/>
    </row>
    <row r="113" spans="1:11" ht="27.6">
      <c r="B113" s="211" t="s">
        <v>145</v>
      </c>
      <c r="C113" s="212" t="s">
        <v>127</v>
      </c>
      <c r="D113" s="212" t="s">
        <v>152</v>
      </c>
      <c r="E113" s="212" t="s">
        <v>153</v>
      </c>
      <c r="F113" s="212" t="s">
        <v>159</v>
      </c>
    </row>
    <row r="114" spans="1:11">
      <c r="B114" s="237">
        <v>1</v>
      </c>
      <c r="C114" s="238"/>
      <c r="D114" s="237"/>
      <c r="E114" s="242"/>
      <c r="F114" s="231">
        <f>E114*D114</f>
        <v>0</v>
      </c>
    </row>
    <row r="115" spans="1:11">
      <c r="B115" s="237"/>
      <c r="C115" s="238"/>
      <c r="D115" s="237"/>
      <c r="E115" s="242"/>
      <c r="F115" s="231">
        <f>E115*D115</f>
        <v>0</v>
      </c>
    </row>
    <row r="116" spans="1:11">
      <c r="B116" s="237"/>
      <c r="C116" s="238"/>
      <c r="D116" s="237"/>
      <c r="E116" s="242"/>
      <c r="F116" s="231">
        <f>E116*D116</f>
        <v>0</v>
      </c>
    </row>
    <row r="117" spans="1:11">
      <c r="B117" s="435" t="s">
        <v>1</v>
      </c>
      <c r="C117" s="435"/>
      <c r="D117" s="435"/>
      <c r="E117" s="435"/>
      <c r="F117" s="214">
        <f>SUM(F114:F116)</f>
        <v>0</v>
      </c>
    </row>
    <row r="118" spans="1:11">
      <c r="A118" s="436" t="s">
        <v>450</v>
      </c>
      <c r="B118" s="436"/>
      <c r="C118" s="436"/>
      <c r="D118" s="436"/>
      <c r="E118" s="436"/>
      <c r="F118" s="436"/>
      <c r="G118" s="436"/>
    </row>
    <row r="121" spans="1:11" ht="17.399999999999999">
      <c r="A121">
        <v>2.6</v>
      </c>
      <c r="B121" s="428" t="s">
        <v>255</v>
      </c>
      <c r="C121" s="428"/>
      <c r="D121" s="428"/>
      <c r="J121" s="21"/>
    </row>
    <row r="122" spans="1:11" ht="15" thickBot="1">
      <c r="J122" s="21"/>
      <c r="K122" s="3"/>
    </row>
    <row r="123" spans="1:11" ht="28.2" thickBot="1">
      <c r="B123" s="223" t="s">
        <v>145</v>
      </c>
      <c r="C123" s="224" t="s">
        <v>127</v>
      </c>
      <c r="D123" s="224" t="s">
        <v>376</v>
      </c>
      <c r="J123" s="21"/>
    </row>
    <row r="124" spans="1:11" ht="15" thickBot="1">
      <c r="B124" s="264">
        <v>1</v>
      </c>
      <c r="C124" s="263" t="s">
        <v>703</v>
      </c>
      <c r="D124" s="243">
        <v>963900</v>
      </c>
      <c r="J124" s="21"/>
    </row>
    <row r="125" spans="1:11" ht="15" thickBot="1">
      <c r="B125" s="264">
        <v>2</v>
      </c>
      <c r="C125" s="265"/>
      <c r="D125" s="243"/>
    </row>
    <row r="126" spans="1:11" ht="15" thickBot="1">
      <c r="B126" s="264">
        <v>3</v>
      </c>
      <c r="C126" s="265"/>
      <c r="D126" s="243"/>
    </row>
    <row r="127" spans="1:11" ht="15" thickBot="1">
      <c r="B127" s="264"/>
      <c r="C127" s="265"/>
      <c r="D127" s="243"/>
      <c r="J127" s="21"/>
    </row>
    <row r="128" spans="1:11" ht="15" thickBot="1">
      <c r="B128" s="264"/>
      <c r="C128" s="265"/>
      <c r="D128" s="243"/>
    </row>
    <row r="129" spans="1:12" ht="15" thickBot="1">
      <c r="B129" s="431" t="s">
        <v>1</v>
      </c>
      <c r="C129" s="432"/>
      <c r="D129" s="244">
        <f>SUM(D124:D128)</f>
        <v>963900</v>
      </c>
      <c r="H129" s="21"/>
      <c r="K129" s="21"/>
      <c r="L129" s="21"/>
    </row>
    <row r="130" spans="1:12">
      <c r="H130" s="21">
        <f>D129+F106+F92+G77+G12</f>
        <v>28050698</v>
      </c>
    </row>
    <row r="131" spans="1:12" ht="30" customHeight="1">
      <c r="A131" s="433" t="s">
        <v>451</v>
      </c>
      <c r="B131" s="433"/>
      <c r="C131" s="433"/>
      <c r="D131" s="433"/>
      <c r="E131" s="433"/>
    </row>
    <row r="137" spans="1:12">
      <c r="G137" s="21"/>
    </row>
  </sheetData>
  <mergeCells count="22">
    <mergeCell ref="B12:F12"/>
    <mergeCell ref="B2:G2"/>
    <mergeCell ref="B15:G15"/>
    <mergeCell ref="B79:H79"/>
    <mergeCell ref="B77:F77"/>
    <mergeCell ref="B17:H17"/>
    <mergeCell ref="B32:C32"/>
    <mergeCell ref="B47:C47"/>
    <mergeCell ref="B69:C69"/>
    <mergeCell ref="B129:C129"/>
    <mergeCell ref="A131:E131"/>
    <mergeCell ref="B75:C75"/>
    <mergeCell ref="A108:G108"/>
    <mergeCell ref="B117:E117"/>
    <mergeCell ref="B111:F111"/>
    <mergeCell ref="A118:G118"/>
    <mergeCell ref="B121:D121"/>
    <mergeCell ref="B92:E92"/>
    <mergeCell ref="B83:F83"/>
    <mergeCell ref="A94:G94"/>
    <mergeCell ref="B106:E106"/>
    <mergeCell ref="B97:F97"/>
  </mergeCells>
  <pageMargins left="0.7" right="0.7" top="0.75" bottom="0.75" header="0.3" footer="0.3"/>
  <pageSetup scale="61" orientation="portrait" r:id="rId1"/>
  <rowBreaks count="1" manualBreakCount="1">
    <brk id="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109"/>
  <sheetViews>
    <sheetView zoomScale="130" zoomScaleNormal="130" zoomScaleSheetLayoutView="80" workbookViewId="0">
      <selection activeCell="A21" sqref="A21"/>
    </sheetView>
  </sheetViews>
  <sheetFormatPr defaultRowHeight="14.4"/>
  <cols>
    <col min="1" max="1" width="41.33203125" customWidth="1"/>
    <col min="2" max="2" width="14.5546875" bestFit="1" customWidth="1"/>
    <col min="3" max="3" width="13.33203125" customWidth="1"/>
    <col min="4" max="4" width="13.44140625" customWidth="1"/>
    <col min="5" max="5" width="14.88671875" customWidth="1"/>
    <col min="6" max="7" width="14.6640625" bestFit="1" customWidth="1"/>
    <col min="8" max="8" width="14.88671875" bestFit="1" customWidth="1"/>
    <col min="9" max="9" width="14.88671875" customWidth="1"/>
    <col min="10" max="10" width="14.6640625" bestFit="1" customWidth="1"/>
    <col min="11" max="11" width="14.6640625" customWidth="1"/>
    <col min="12" max="12" width="14.88671875" customWidth="1"/>
    <col min="13" max="18" width="13.44140625" bestFit="1" customWidth="1"/>
  </cols>
  <sheetData>
    <row r="2" spans="1:12" ht="17.399999999999999">
      <c r="A2" s="426" t="s">
        <v>559</v>
      </c>
      <c r="B2" s="426"/>
      <c r="C2" s="426"/>
      <c r="D2" s="426"/>
      <c r="E2" s="426"/>
      <c r="F2" s="426"/>
      <c r="G2" s="426"/>
      <c r="H2" s="426"/>
      <c r="I2" s="426"/>
      <c r="J2" s="426"/>
      <c r="K2" s="426"/>
      <c r="L2" s="426"/>
    </row>
    <row r="4" spans="1:12">
      <c r="A4" s="92"/>
      <c r="B4" s="92"/>
      <c r="C4" s="92"/>
      <c r="D4" s="92"/>
      <c r="E4" s="176">
        <v>1</v>
      </c>
      <c r="F4" s="181">
        <v>1.01</v>
      </c>
      <c r="G4" s="181">
        <v>1.02</v>
      </c>
      <c r="H4" s="181">
        <v>1.03</v>
      </c>
      <c r="I4" s="181">
        <v>1.04</v>
      </c>
      <c r="J4" s="181">
        <v>1.05</v>
      </c>
      <c r="K4" s="181">
        <v>1.05</v>
      </c>
    </row>
    <row r="5" spans="1:12">
      <c r="A5" s="92"/>
      <c r="B5" s="92"/>
      <c r="C5" s="92"/>
      <c r="D5" s="92"/>
      <c r="E5" s="92"/>
      <c r="F5" s="92"/>
      <c r="G5" s="92"/>
      <c r="H5" s="92"/>
      <c r="I5" s="92"/>
      <c r="J5" s="92"/>
      <c r="K5" s="92"/>
    </row>
    <row r="6" spans="1:12">
      <c r="A6" s="146" t="s">
        <v>0</v>
      </c>
      <c r="B6" s="146" t="s">
        <v>132</v>
      </c>
      <c r="C6" s="146" t="s">
        <v>394</v>
      </c>
      <c r="D6" s="146" t="s">
        <v>289</v>
      </c>
      <c r="E6" s="118" t="s">
        <v>2</v>
      </c>
      <c r="F6" s="118" t="s">
        <v>3</v>
      </c>
      <c r="G6" s="118" t="s">
        <v>4</v>
      </c>
      <c r="H6" s="118" t="s">
        <v>5</v>
      </c>
      <c r="I6" s="118" t="s">
        <v>6</v>
      </c>
      <c r="J6" s="118" t="s">
        <v>170</v>
      </c>
      <c r="K6" s="118" t="s">
        <v>169</v>
      </c>
    </row>
    <row r="7" spans="1:12">
      <c r="A7" s="93"/>
      <c r="B7" s="93"/>
      <c r="C7" s="93"/>
      <c r="D7" s="93"/>
      <c r="E7" s="93"/>
      <c r="F7" s="93"/>
      <c r="G7" s="93"/>
      <c r="H7" s="93"/>
      <c r="I7" s="93"/>
      <c r="J7" s="93"/>
      <c r="K7" s="93"/>
    </row>
    <row r="8" spans="1:12">
      <c r="A8" s="93" t="s">
        <v>722</v>
      </c>
      <c r="B8" s="93" t="s">
        <v>395</v>
      </c>
      <c r="C8" s="93">
        <v>1</v>
      </c>
      <c r="D8" s="254">
        <v>25000</v>
      </c>
      <c r="E8" s="94">
        <f>$C8*$D8*12*E$4</f>
        <v>300000</v>
      </c>
      <c r="F8" s="94">
        <f t="shared" ref="F8:J9" si="0">$C8*$D8*12*F$4</f>
        <v>303000</v>
      </c>
      <c r="G8" s="94">
        <f t="shared" si="0"/>
        <v>306000</v>
      </c>
      <c r="H8" s="94">
        <f t="shared" si="0"/>
        <v>309000</v>
      </c>
      <c r="I8" s="94">
        <f t="shared" si="0"/>
        <v>312000</v>
      </c>
      <c r="J8" s="94">
        <f t="shared" si="0"/>
        <v>315000</v>
      </c>
      <c r="K8" s="94">
        <f>$C8*$D8*12*K$4</f>
        <v>315000</v>
      </c>
    </row>
    <row r="9" spans="1:12">
      <c r="A9" s="93" t="s">
        <v>721</v>
      </c>
      <c r="B9" s="93" t="s">
        <v>395</v>
      </c>
      <c r="C9" s="230">
        <v>1</v>
      </c>
      <c r="D9" s="254">
        <v>20000</v>
      </c>
      <c r="E9" s="94">
        <f>$C9*$D9*12*E$4</f>
        <v>240000</v>
      </c>
      <c r="F9" s="94">
        <f t="shared" si="0"/>
        <v>242400</v>
      </c>
      <c r="G9" s="94">
        <f t="shared" si="0"/>
        <v>244800</v>
      </c>
      <c r="H9" s="94">
        <f t="shared" si="0"/>
        <v>247200</v>
      </c>
      <c r="I9" s="94">
        <f t="shared" si="0"/>
        <v>249600</v>
      </c>
      <c r="J9" s="94">
        <f t="shared" si="0"/>
        <v>252000</v>
      </c>
      <c r="K9" s="94">
        <f>$C9*$D9*12*K$4</f>
        <v>252000</v>
      </c>
    </row>
    <row r="10" spans="1:12">
      <c r="A10" s="93" t="s">
        <v>189</v>
      </c>
      <c r="B10" s="93" t="s">
        <v>395</v>
      </c>
      <c r="C10" s="230">
        <v>1</v>
      </c>
      <c r="D10" s="254">
        <v>13000</v>
      </c>
      <c r="E10" s="94">
        <f>$C10*$D10*12*E$4</f>
        <v>156000</v>
      </c>
      <c r="F10" s="94">
        <f t="shared" ref="F10:J11" si="1">$C10*$D10*12*F$4</f>
        <v>157560</v>
      </c>
      <c r="G10" s="94">
        <f t="shared" si="1"/>
        <v>159120</v>
      </c>
      <c r="H10" s="94">
        <f t="shared" si="1"/>
        <v>160680</v>
      </c>
      <c r="I10" s="94">
        <f t="shared" si="1"/>
        <v>162240</v>
      </c>
      <c r="J10" s="94">
        <f t="shared" si="1"/>
        <v>163800</v>
      </c>
      <c r="K10" s="94">
        <f>$C10*$D10*12*K$4</f>
        <v>163800</v>
      </c>
    </row>
    <row r="11" spans="1:12">
      <c r="A11" s="93" t="s">
        <v>194</v>
      </c>
      <c r="B11" s="93" t="s">
        <v>395</v>
      </c>
      <c r="C11" s="230">
        <v>1</v>
      </c>
      <c r="D11" s="254">
        <v>7000</v>
      </c>
      <c r="E11" s="94">
        <f>$C11*$D11*12*E$4</f>
        <v>84000</v>
      </c>
      <c r="F11" s="94">
        <f t="shared" si="1"/>
        <v>84840</v>
      </c>
      <c r="G11" s="94">
        <f t="shared" si="1"/>
        <v>85680</v>
      </c>
      <c r="H11" s="94">
        <f t="shared" si="1"/>
        <v>86520</v>
      </c>
      <c r="I11" s="94">
        <f t="shared" si="1"/>
        <v>87360</v>
      </c>
      <c r="J11" s="94">
        <f t="shared" si="1"/>
        <v>88200</v>
      </c>
      <c r="K11" s="94">
        <f>$C11*$D11*12*K$4</f>
        <v>88200</v>
      </c>
    </row>
    <row r="12" spans="1:12">
      <c r="A12" s="93" t="s">
        <v>130</v>
      </c>
      <c r="B12" s="93" t="s">
        <v>396</v>
      </c>
      <c r="C12" s="93">
        <v>12</v>
      </c>
      <c r="D12" s="254">
        <v>1150</v>
      </c>
      <c r="E12" s="94">
        <f>$C12*$D12*E$4</f>
        <v>13800</v>
      </c>
      <c r="F12" s="94">
        <f t="shared" ref="F12:J16" si="2">$C12*$D12*F$4</f>
        <v>13938</v>
      </c>
      <c r="G12" s="94">
        <f t="shared" si="2"/>
        <v>14076</v>
      </c>
      <c r="H12" s="94">
        <f t="shared" si="2"/>
        <v>14214</v>
      </c>
      <c r="I12" s="94">
        <f t="shared" si="2"/>
        <v>14352</v>
      </c>
      <c r="J12" s="94">
        <f t="shared" si="2"/>
        <v>14490</v>
      </c>
      <c r="K12" s="94">
        <f>$C12*$D12*K$4</f>
        <v>14490</v>
      </c>
    </row>
    <row r="13" spans="1:12">
      <c r="A13" s="93" t="s">
        <v>10</v>
      </c>
      <c r="B13" s="93" t="s">
        <v>396</v>
      </c>
      <c r="C13" s="93">
        <v>12</v>
      </c>
      <c r="D13" s="254">
        <v>1200</v>
      </c>
      <c r="E13" s="94">
        <f t="shared" ref="E13:E16" si="3">$C13*$D13*E$4</f>
        <v>14400</v>
      </c>
      <c r="F13" s="94">
        <f t="shared" si="2"/>
        <v>14544</v>
      </c>
      <c r="G13" s="94">
        <f t="shared" si="2"/>
        <v>14688</v>
      </c>
      <c r="H13" s="94">
        <f t="shared" si="2"/>
        <v>14832</v>
      </c>
      <c r="I13" s="94">
        <f t="shared" si="2"/>
        <v>14976</v>
      </c>
      <c r="J13" s="94">
        <f t="shared" si="2"/>
        <v>15120</v>
      </c>
      <c r="K13" s="94">
        <f>$C13*$D13*K$4</f>
        <v>15120</v>
      </c>
    </row>
    <row r="14" spans="1:12">
      <c r="A14" s="93" t="s">
        <v>190</v>
      </c>
      <c r="B14" s="93" t="s">
        <v>396</v>
      </c>
      <c r="C14" s="93">
        <v>12</v>
      </c>
      <c r="D14" s="254">
        <v>1100</v>
      </c>
      <c r="E14" s="94">
        <f t="shared" si="3"/>
        <v>13200</v>
      </c>
      <c r="F14" s="94">
        <f t="shared" si="2"/>
        <v>13332</v>
      </c>
      <c r="G14" s="94">
        <f t="shared" si="2"/>
        <v>13464</v>
      </c>
      <c r="H14" s="94">
        <f t="shared" si="2"/>
        <v>13596</v>
      </c>
      <c r="I14" s="94">
        <f t="shared" si="2"/>
        <v>13728</v>
      </c>
      <c r="J14" s="94">
        <f t="shared" si="2"/>
        <v>13860</v>
      </c>
      <c r="K14" s="94">
        <f>$C14*$D14*K$4</f>
        <v>13860</v>
      </c>
    </row>
    <row r="15" spans="1:12">
      <c r="A15" s="93" t="s">
        <v>161</v>
      </c>
      <c r="B15" s="93" t="s">
        <v>396</v>
      </c>
      <c r="C15" s="93">
        <v>12</v>
      </c>
      <c r="D15" s="254">
        <v>4000</v>
      </c>
      <c r="E15" s="94">
        <f t="shared" si="3"/>
        <v>48000</v>
      </c>
      <c r="F15" s="94">
        <f t="shared" si="2"/>
        <v>48480</v>
      </c>
      <c r="G15" s="94">
        <f t="shared" si="2"/>
        <v>48960</v>
      </c>
      <c r="H15" s="94">
        <f t="shared" si="2"/>
        <v>49440</v>
      </c>
      <c r="I15" s="94">
        <f t="shared" si="2"/>
        <v>49920</v>
      </c>
      <c r="J15" s="94">
        <f t="shared" si="2"/>
        <v>50400</v>
      </c>
      <c r="K15" s="94">
        <f>$C15*$D15*K$4</f>
        <v>50400</v>
      </c>
    </row>
    <row r="16" spans="1:12">
      <c r="A16" s="93" t="s">
        <v>191</v>
      </c>
      <c r="B16" s="93" t="s">
        <v>396</v>
      </c>
      <c r="C16" s="93">
        <v>12</v>
      </c>
      <c r="D16" s="254">
        <v>1000</v>
      </c>
      <c r="E16" s="94">
        <f t="shared" si="3"/>
        <v>12000</v>
      </c>
      <c r="F16" s="94">
        <f t="shared" si="2"/>
        <v>12120</v>
      </c>
      <c r="G16" s="94">
        <f t="shared" si="2"/>
        <v>12240</v>
      </c>
      <c r="H16" s="94">
        <f t="shared" si="2"/>
        <v>12360</v>
      </c>
      <c r="I16" s="94">
        <f t="shared" si="2"/>
        <v>12480</v>
      </c>
      <c r="J16" s="94">
        <f t="shared" si="2"/>
        <v>12600</v>
      </c>
      <c r="K16" s="94">
        <f>$C16*$D16*K$4</f>
        <v>12600</v>
      </c>
    </row>
    <row r="17" spans="1:18">
      <c r="A17" s="93" t="s">
        <v>192</v>
      </c>
      <c r="B17" s="93" t="s">
        <v>397</v>
      </c>
      <c r="C17" s="93">
        <v>1</v>
      </c>
      <c r="D17" s="254">
        <v>15000</v>
      </c>
      <c r="E17" s="94">
        <f>$D17*E$4*$C17</f>
        <v>15000</v>
      </c>
      <c r="F17" s="94">
        <f t="shared" ref="F17:J23" si="4">$D17*F$4*$C17</f>
        <v>15150</v>
      </c>
      <c r="G17" s="94">
        <f t="shared" si="4"/>
        <v>15300</v>
      </c>
      <c r="H17" s="94">
        <f t="shared" si="4"/>
        <v>15450</v>
      </c>
      <c r="I17" s="94">
        <f t="shared" si="4"/>
        <v>15600</v>
      </c>
      <c r="J17" s="94">
        <f t="shared" si="4"/>
        <v>15750</v>
      </c>
      <c r="K17" s="94">
        <f t="shared" ref="K17:K23" si="5">$D17*K$4*$C17</f>
        <v>15750</v>
      </c>
    </row>
    <row r="18" spans="1:18">
      <c r="A18" s="93"/>
      <c r="B18" s="93"/>
      <c r="C18" s="93"/>
      <c r="D18" s="254"/>
      <c r="E18" s="94">
        <f t="shared" ref="E18:E23" si="6">$D18*E$4*$C18</f>
        <v>0</v>
      </c>
      <c r="F18" s="94">
        <f t="shared" si="4"/>
        <v>0</v>
      </c>
      <c r="G18" s="94">
        <f t="shared" si="4"/>
        <v>0</v>
      </c>
      <c r="H18" s="94">
        <f t="shared" si="4"/>
        <v>0</v>
      </c>
      <c r="I18" s="94">
        <f t="shared" si="4"/>
        <v>0</v>
      </c>
      <c r="J18" s="94">
        <f t="shared" si="4"/>
        <v>0</v>
      </c>
      <c r="K18" s="94">
        <f t="shared" si="5"/>
        <v>0</v>
      </c>
    </row>
    <row r="19" spans="1:18">
      <c r="A19" s="93"/>
      <c r="B19" s="93"/>
      <c r="C19" s="93"/>
      <c r="D19" s="254"/>
      <c r="E19" s="94">
        <f t="shared" si="6"/>
        <v>0</v>
      </c>
      <c r="F19" s="94">
        <f t="shared" si="4"/>
        <v>0</v>
      </c>
      <c r="G19" s="94">
        <f t="shared" si="4"/>
        <v>0</v>
      </c>
      <c r="H19" s="94">
        <f t="shared" si="4"/>
        <v>0</v>
      </c>
      <c r="I19" s="94">
        <f t="shared" si="4"/>
        <v>0</v>
      </c>
      <c r="J19" s="94">
        <f t="shared" si="4"/>
        <v>0</v>
      </c>
      <c r="K19" s="94">
        <f t="shared" si="5"/>
        <v>0</v>
      </c>
    </row>
    <row r="20" spans="1:18">
      <c r="A20" s="93"/>
      <c r="B20" s="93"/>
      <c r="C20" s="93"/>
      <c r="D20" s="254"/>
      <c r="E20" s="94">
        <f t="shared" si="6"/>
        <v>0</v>
      </c>
      <c r="F20" s="94">
        <f t="shared" si="4"/>
        <v>0</v>
      </c>
      <c r="G20" s="94">
        <f t="shared" si="4"/>
        <v>0</v>
      </c>
      <c r="H20" s="94">
        <f t="shared" si="4"/>
        <v>0</v>
      </c>
      <c r="I20" s="94">
        <f t="shared" si="4"/>
        <v>0</v>
      </c>
      <c r="J20" s="94">
        <f t="shared" si="4"/>
        <v>0</v>
      </c>
      <c r="K20" s="94">
        <f t="shared" si="5"/>
        <v>0</v>
      </c>
    </row>
    <row r="21" spans="1:18">
      <c r="A21" s="93"/>
      <c r="B21" s="93"/>
      <c r="C21" s="93"/>
      <c r="D21" s="254"/>
      <c r="E21" s="94">
        <f t="shared" si="6"/>
        <v>0</v>
      </c>
      <c r="F21" s="94">
        <f t="shared" si="4"/>
        <v>0</v>
      </c>
      <c r="G21" s="94">
        <f t="shared" si="4"/>
        <v>0</v>
      </c>
      <c r="H21" s="94">
        <f t="shared" si="4"/>
        <v>0</v>
      </c>
      <c r="I21" s="94">
        <f t="shared" si="4"/>
        <v>0</v>
      </c>
      <c r="J21" s="94">
        <f t="shared" si="4"/>
        <v>0</v>
      </c>
      <c r="K21" s="94">
        <f t="shared" si="5"/>
        <v>0</v>
      </c>
    </row>
    <row r="22" spans="1:18">
      <c r="A22" s="93"/>
      <c r="B22" s="93"/>
      <c r="C22" s="93"/>
      <c r="D22" s="254"/>
      <c r="E22" s="94">
        <f t="shared" si="6"/>
        <v>0</v>
      </c>
      <c r="F22" s="94">
        <f t="shared" si="4"/>
        <v>0</v>
      </c>
      <c r="G22" s="94">
        <f t="shared" si="4"/>
        <v>0</v>
      </c>
      <c r="H22" s="94">
        <f t="shared" si="4"/>
        <v>0</v>
      </c>
      <c r="I22" s="94">
        <f t="shared" si="4"/>
        <v>0</v>
      </c>
      <c r="J22" s="94">
        <f t="shared" si="4"/>
        <v>0</v>
      </c>
      <c r="K22" s="94">
        <f t="shared" si="5"/>
        <v>0</v>
      </c>
    </row>
    <row r="23" spans="1:18">
      <c r="A23" s="93"/>
      <c r="B23" s="93"/>
      <c r="C23" s="93"/>
      <c r="D23" s="94"/>
      <c r="E23" s="94">
        <f t="shared" si="6"/>
        <v>0</v>
      </c>
      <c r="F23" s="94">
        <f t="shared" si="4"/>
        <v>0</v>
      </c>
      <c r="G23" s="94">
        <f t="shared" si="4"/>
        <v>0</v>
      </c>
      <c r="H23" s="94">
        <f t="shared" si="4"/>
        <v>0</v>
      </c>
      <c r="I23" s="94">
        <f t="shared" si="4"/>
        <v>0</v>
      </c>
      <c r="J23" s="94">
        <f t="shared" si="4"/>
        <v>0</v>
      </c>
      <c r="K23" s="94">
        <f t="shared" si="5"/>
        <v>0</v>
      </c>
    </row>
    <row r="24" spans="1:18">
      <c r="A24" s="95" t="s">
        <v>131</v>
      </c>
      <c r="B24" s="95"/>
      <c r="C24" s="95"/>
      <c r="D24" s="113"/>
      <c r="E24" s="113">
        <f>SUM(E8:E23)</f>
        <v>896400</v>
      </c>
      <c r="F24" s="113">
        <f t="shared" ref="F24:K24" si="7">SUM(F8:F23)</f>
        <v>905364</v>
      </c>
      <c r="G24" s="113">
        <f t="shared" si="7"/>
        <v>914328</v>
      </c>
      <c r="H24" s="113">
        <f t="shared" si="7"/>
        <v>923292</v>
      </c>
      <c r="I24" s="113">
        <f t="shared" si="7"/>
        <v>932256</v>
      </c>
      <c r="J24" s="113">
        <f t="shared" si="7"/>
        <v>941220</v>
      </c>
      <c r="K24" s="113">
        <f t="shared" si="7"/>
        <v>941220</v>
      </c>
    </row>
    <row r="29" spans="1:18">
      <c r="A29" s="441"/>
      <c r="B29" s="441"/>
      <c r="C29" s="441"/>
      <c r="D29" s="441"/>
      <c r="E29" s="441"/>
      <c r="F29" s="441"/>
      <c r="G29" s="441"/>
      <c r="H29" s="441"/>
      <c r="I29" s="441"/>
      <c r="J29" s="441"/>
      <c r="K29" s="441"/>
      <c r="L29" s="441"/>
      <c r="M29" s="441"/>
      <c r="N29" s="441"/>
      <c r="O29" s="441"/>
      <c r="P29" s="441"/>
    </row>
    <row r="30" spans="1:18" ht="17.399999999999999">
      <c r="A30" s="439" t="s">
        <v>560</v>
      </c>
      <c r="B30" s="439"/>
      <c r="C30" s="439"/>
      <c r="D30" s="439"/>
      <c r="E30" s="439"/>
      <c r="F30" s="439"/>
      <c r="G30" s="439"/>
      <c r="H30" s="439"/>
      <c r="I30" s="439"/>
      <c r="J30" s="439"/>
      <c r="K30" s="439"/>
      <c r="L30" s="439"/>
      <c r="M30" s="439"/>
      <c r="N30" s="439"/>
      <c r="O30" s="439"/>
      <c r="P30" s="439"/>
      <c r="Q30" s="439"/>
      <c r="R30" s="439"/>
    </row>
    <row r="31" spans="1:18" s="12" customFormat="1">
      <c r="A31" s="147"/>
      <c r="B31" s="147"/>
      <c r="C31" s="147"/>
      <c r="D31" s="147"/>
      <c r="E31" s="147"/>
      <c r="F31" s="147"/>
      <c r="G31" s="147"/>
      <c r="H31" s="147"/>
      <c r="I31" s="147"/>
      <c r="J31" s="147"/>
      <c r="K31" s="388"/>
      <c r="L31" s="147"/>
      <c r="M31" s="147"/>
      <c r="N31" s="147"/>
      <c r="O31" s="147"/>
      <c r="P31" s="147"/>
    </row>
    <row r="32" spans="1:18">
      <c r="A32" s="92"/>
      <c r="B32" s="92"/>
      <c r="C32" s="442" t="s">
        <v>195</v>
      </c>
      <c r="D32" s="442"/>
      <c r="E32" s="442"/>
      <c r="F32" s="442"/>
      <c r="G32" s="442"/>
      <c r="H32" s="442"/>
      <c r="I32" s="442"/>
      <c r="J32" s="92"/>
      <c r="K32" s="92"/>
      <c r="L32" s="443" t="s">
        <v>196</v>
      </c>
      <c r="M32" s="443"/>
      <c r="N32" s="443"/>
      <c r="O32" s="443"/>
      <c r="P32" s="443"/>
      <c r="Q32" s="443"/>
      <c r="R32" s="443"/>
    </row>
    <row r="33" spans="1:18">
      <c r="A33" s="167" t="s">
        <v>0</v>
      </c>
      <c r="B33" s="160"/>
      <c r="C33" s="57" t="s">
        <v>2</v>
      </c>
      <c r="D33" s="57" t="s">
        <v>3</v>
      </c>
      <c r="E33" s="57" t="s">
        <v>4</v>
      </c>
      <c r="F33" s="57" t="s">
        <v>5</v>
      </c>
      <c r="G33" s="57" t="s">
        <v>6</v>
      </c>
      <c r="H33" s="57" t="s">
        <v>170</v>
      </c>
      <c r="I33" s="57" t="s">
        <v>169</v>
      </c>
      <c r="J33" s="171"/>
      <c r="K33" s="171"/>
      <c r="L33" s="57" t="s">
        <v>2</v>
      </c>
      <c r="M33" s="57" t="s">
        <v>3</v>
      </c>
      <c r="N33" s="57" t="s">
        <v>4</v>
      </c>
      <c r="O33" s="57" t="s">
        <v>5</v>
      </c>
      <c r="P33" s="57" t="s">
        <v>6</v>
      </c>
      <c r="Q33" s="57" t="s">
        <v>170</v>
      </c>
      <c r="R33" s="57" t="s">
        <v>169</v>
      </c>
    </row>
    <row r="34" spans="1:18">
      <c r="A34" s="161" t="s">
        <v>197</v>
      </c>
      <c r="B34" s="97"/>
      <c r="C34" s="97"/>
      <c r="D34" s="97"/>
      <c r="E34" s="97"/>
      <c r="F34" s="97"/>
      <c r="G34" s="162"/>
      <c r="H34" s="162"/>
      <c r="I34" s="162"/>
      <c r="J34" s="184"/>
      <c r="K34" s="184"/>
      <c r="L34" s="97"/>
      <c r="M34" s="97"/>
      <c r="N34" s="97"/>
      <c r="O34" s="97"/>
      <c r="P34" s="162"/>
      <c r="Q34" s="162"/>
      <c r="R34" s="162"/>
    </row>
    <row r="35" spans="1:18">
      <c r="A35" s="161"/>
      <c r="B35" s="97"/>
      <c r="C35" s="97"/>
      <c r="D35" s="97"/>
      <c r="E35" s="97"/>
      <c r="F35" s="97"/>
      <c r="G35" s="162"/>
      <c r="H35" s="162"/>
      <c r="I35" s="162"/>
      <c r="J35" s="184"/>
      <c r="K35" s="184"/>
      <c r="L35" s="97"/>
      <c r="M35" s="97"/>
      <c r="N35" s="97"/>
      <c r="O35" s="97"/>
      <c r="P35" s="162"/>
      <c r="Q35" s="162"/>
      <c r="R35" s="162"/>
    </row>
    <row r="36" spans="1:18">
      <c r="A36" s="163"/>
      <c r="B36" s="163"/>
      <c r="C36" s="97"/>
      <c r="D36" s="97"/>
      <c r="E36" s="97"/>
      <c r="F36" s="97"/>
      <c r="G36" s="97"/>
      <c r="H36" s="97"/>
      <c r="I36" s="97"/>
      <c r="J36" s="184"/>
      <c r="K36" s="184"/>
      <c r="L36" s="97"/>
      <c r="M36" s="97"/>
      <c r="N36" s="97"/>
      <c r="O36" s="97"/>
      <c r="P36" s="97"/>
      <c r="Q36" s="97"/>
      <c r="R36" s="97"/>
    </row>
    <row r="37" spans="1:18">
      <c r="A37" s="164" t="s">
        <v>201</v>
      </c>
      <c r="B37" s="164"/>
      <c r="C37" s="97"/>
      <c r="D37" s="97"/>
      <c r="E37" s="97"/>
      <c r="F37" s="97"/>
      <c r="G37" s="97"/>
      <c r="H37" s="97"/>
      <c r="I37" s="97"/>
      <c r="J37" s="184"/>
      <c r="K37" s="184"/>
      <c r="L37" s="97"/>
      <c r="M37" s="97"/>
      <c r="N37" s="97"/>
      <c r="O37" s="97"/>
      <c r="P37" s="97"/>
      <c r="Q37" s="97"/>
      <c r="R37" s="97"/>
    </row>
    <row r="38" spans="1:18">
      <c r="A38" s="163" t="s">
        <v>198</v>
      </c>
      <c r="B38" s="163"/>
      <c r="C38" s="165">
        <f>'1.Project Cost and MOF'!D5</f>
        <v>18073000</v>
      </c>
      <c r="D38" s="165">
        <f t="shared" ref="D38:I38" si="8">C41</f>
        <v>17500085.899999999</v>
      </c>
      <c r="E38" s="165">
        <f t="shared" si="8"/>
        <v>16927171.799999997</v>
      </c>
      <c r="F38" s="165">
        <f t="shared" si="8"/>
        <v>16354257.699999997</v>
      </c>
      <c r="G38" s="165">
        <f t="shared" si="8"/>
        <v>15781343.599999998</v>
      </c>
      <c r="H38" s="165">
        <f t="shared" si="8"/>
        <v>15208429.499999998</v>
      </c>
      <c r="I38" s="165">
        <f t="shared" si="8"/>
        <v>14635515.399999999</v>
      </c>
      <c r="J38" s="184"/>
      <c r="K38" s="184"/>
      <c r="L38" s="165">
        <f>C38</f>
        <v>18073000</v>
      </c>
      <c r="M38" s="165">
        <f t="shared" ref="M38:R38" si="9">L41</f>
        <v>16265700</v>
      </c>
      <c r="N38" s="165">
        <f t="shared" si="9"/>
        <v>14639130</v>
      </c>
      <c r="O38" s="165">
        <f t="shared" si="9"/>
        <v>13175217</v>
      </c>
      <c r="P38" s="165">
        <f t="shared" si="9"/>
        <v>11857695.300000001</v>
      </c>
      <c r="Q38" s="165">
        <f t="shared" si="9"/>
        <v>10671925.770000001</v>
      </c>
      <c r="R38" s="165">
        <f t="shared" si="9"/>
        <v>9604733.1930000018</v>
      </c>
    </row>
    <row r="39" spans="1:18">
      <c r="A39" s="163" t="s">
        <v>17</v>
      </c>
      <c r="B39" s="163"/>
      <c r="C39" s="165">
        <f t="shared" ref="C39:I39" si="10">$C$38*$B$75</f>
        <v>572914.1</v>
      </c>
      <c r="D39" s="165">
        <f t="shared" si="10"/>
        <v>572914.1</v>
      </c>
      <c r="E39" s="165">
        <f t="shared" si="10"/>
        <v>572914.1</v>
      </c>
      <c r="F39" s="165">
        <f t="shared" si="10"/>
        <v>572914.1</v>
      </c>
      <c r="G39" s="165">
        <f t="shared" si="10"/>
        <v>572914.1</v>
      </c>
      <c r="H39" s="165">
        <f t="shared" si="10"/>
        <v>572914.1</v>
      </c>
      <c r="I39" s="165">
        <f t="shared" si="10"/>
        <v>572914.1</v>
      </c>
      <c r="J39" s="184"/>
      <c r="K39" s="184"/>
      <c r="L39" s="165">
        <f t="shared" ref="L39:R39" si="11">L38*$C$75</f>
        <v>1807300</v>
      </c>
      <c r="M39" s="165">
        <f t="shared" si="11"/>
        <v>1626570</v>
      </c>
      <c r="N39" s="165">
        <f t="shared" si="11"/>
        <v>1463913</v>
      </c>
      <c r="O39" s="165">
        <f t="shared" si="11"/>
        <v>1317521.7000000002</v>
      </c>
      <c r="P39" s="165">
        <f t="shared" si="11"/>
        <v>1185769.53</v>
      </c>
      <c r="Q39" s="165">
        <f t="shared" si="11"/>
        <v>1067192.5770000003</v>
      </c>
      <c r="R39" s="165">
        <f t="shared" si="11"/>
        <v>960473.31930000021</v>
      </c>
    </row>
    <row r="40" spans="1:18">
      <c r="A40" s="163" t="s">
        <v>199</v>
      </c>
      <c r="B40" s="163"/>
      <c r="C40" s="165">
        <f>C39</f>
        <v>572914.1</v>
      </c>
      <c r="D40" s="165">
        <f t="shared" ref="D40:I40" si="12">C40+D39</f>
        <v>1145828.2</v>
      </c>
      <c r="E40" s="165">
        <f t="shared" si="12"/>
        <v>1718742.2999999998</v>
      </c>
      <c r="F40" s="165">
        <f t="shared" si="12"/>
        <v>2291656.4</v>
      </c>
      <c r="G40" s="165">
        <f t="shared" si="12"/>
        <v>2864570.5</v>
      </c>
      <c r="H40" s="165">
        <f t="shared" si="12"/>
        <v>3437484.6</v>
      </c>
      <c r="I40" s="165">
        <f t="shared" si="12"/>
        <v>4010398.7</v>
      </c>
      <c r="J40" s="184"/>
      <c r="K40" s="184"/>
      <c r="L40" s="165">
        <f>L39</f>
        <v>1807300</v>
      </c>
      <c r="M40" s="165">
        <f t="shared" ref="M40:R40" si="13">L40+M39</f>
        <v>3433870</v>
      </c>
      <c r="N40" s="165">
        <f t="shared" si="13"/>
        <v>4897783</v>
      </c>
      <c r="O40" s="165">
        <f t="shared" si="13"/>
        <v>6215304.7000000002</v>
      </c>
      <c r="P40" s="165">
        <f t="shared" si="13"/>
        <v>7401074.2300000004</v>
      </c>
      <c r="Q40" s="165">
        <f t="shared" si="13"/>
        <v>8468266.807</v>
      </c>
      <c r="R40" s="165">
        <f t="shared" si="13"/>
        <v>9428740.1262999997</v>
      </c>
    </row>
    <row r="41" spans="1:18">
      <c r="A41" s="163" t="s">
        <v>200</v>
      </c>
      <c r="B41" s="163"/>
      <c r="C41" s="165">
        <f>C38-C39</f>
        <v>17500085.899999999</v>
      </c>
      <c r="D41" s="165">
        <f t="shared" ref="D41:I41" si="14">D38-D39</f>
        <v>16927171.799999997</v>
      </c>
      <c r="E41" s="165">
        <f t="shared" si="14"/>
        <v>16354257.699999997</v>
      </c>
      <c r="F41" s="165">
        <f t="shared" si="14"/>
        <v>15781343.599999998</v>
      </c>
      <c r="G41" s="165">
        <f t="shared" si="14"/>
        <v>15208429.499999998</v>
      </c>
      <c r="H41" s="165">
        <f t="shared" si="14"/>
        <v>14635515.399999999</v>
      </c>
      <c r="I41" s="165">
        <f t="shared" si="14"/>
        <v>14062601.299999999</v>
      </c>
      <c r="J41" s="184"/>
      <c r="K41" s="184"/>
      <c r="L41" s="165">
        <f t="shared" ref="L41:R41" si="15">L38-L39</f>
        <v>16265700</v>
      </c>
      <c r="M41" s="165">
        <f t="shared" si="15"/>
        <v>14639130</v>
      </c>
      <c r="N41" s="165">
        <f t="shared" si="15"/>
        <v>13175217</v>
      </c>
      <c r="O41" s="165">
        <f t="shared" si="15"/>
        <v>11857695.300000001</v>
      </c>
      <c r="P41" s="165">
        <f t="shared" si="15"/>
        <v>10671925.770000001</v>
      </c>
      <c r="Q41" s="165">
        <f t="shared" si="15"/>
        <v>9604733.1930000018</v>
      </c>
      <c r="R41" s="165">
        <f t="shared" si="15"/>
        <v>8644259.8737000022</v>
      </c>
    </row>
    <row r="42" spans="1:18">
      <c r="A42" s="163"/>
      <c r="B42" s="163"/>
      <c r="C42" s="165"/>
      <c r="D42" s="165"/>
      <c r="E42" s="165"/>
      <c r="F42" s="165"/>
      <c r="G42" s="165"/>
      <c r="H42" s="165"/>
      <c r="I42" s="165"/>
      <c r="J42" s="184"/>
      <c r="K42" s="184"/>
      <c r="L42" s="165"/>
      <c r="M42" s="165"/>
      <c r="N42" s="165"/>
      <c r="O42" s="165"/>
      <c r="P42" s="165"/>
      <c r="Q42" s="165"/>
      <c r="R42" s="165"/>
    </row>
    <row r="43" spans="1:18">
      <c r="A43" s="164" t="s">
        <v>202</v>
      </c>
      <c r="B43" s="164"/>
      <c r="C43" s="165"/>
      <c r="D43" s="165"/>
      <c r="E43" s="165"/>
      <c r="F43" s="165"/>
      <c r="G43" s="165"/>
      <c r="H43" s="165"/>
      <c r="I43" s="165"/>
      <c r="J43" s="184"/>
      <c r="K43" s="184"/>
      <c r="L43" s="165"/>
      <c r="M43" s="165"/>
      <c r="N43" s="165"/>
      <c r="O43" s="165"/>
      <c r="P43" s="165"/>
      <c r="Q43" s="165"/>
      <c r="R43" s="165"/>
    </row>
    <row r="44" spans="1:18">
      <c r="A44" s="163" t="s">
        <v>198</v>
      </c>
      <c r="B44" s="163"/>
      <c r="C44" s="165">
        <f>'1.Project Cost and MOF'!D6</f>
        <v>8619918</v>
      </c>
      <c r="D44" s="165">
        <f t="shared" ref="D44:I44" si="16">C47</f>
        <v>8074277.1906000003</v>
      </c>
      <c r="E44" s="165">
        <f t="shared" si="16"/>
        <v>7528636.3812000006</v>
      </c>
      <c r="F44" s="165">
        <f t="shared" si="16"/>
        <v>6982995.571800001</v>
      </c>
      <c r="G44" s="165">
        <f t="shared" si="16"/>
        <v>6437354.7624000013</v>
      </c>
      <c r="H44" s="165">
        <f t="shared" si="16"/>
        <v>5891713.9530000016</v>
      </c>
      <c r="I44" s="165">
        <f t="shared" si="16"/>
        <v>5346073.1436000019</v>
      </c>
      <c r="J44" s="184"/>
      <c r="K44" s="184"/>
      <c r="L44" s="165">
        <f>C44</f>
        <v>8619918</v>
      </c>
      <c r="M44" s="165">
        <f t="shared" ref="M44:R44" si="17">L47</f>
        <v>7326930.2999999998</v>
      </c>
      <c r="N44" s="165">
        <f t="shared" si="17"/>
        <v>6227890.7549999999</v>
      </c>
      <c r="O44" s="165">
        <f t="shared" si="17"/>
        <v>5293707.1417500004</v>
      </c>
      <c r="P44" s="165">
        <f t="shared" si="17"/>
        <v>4499651.0704875002</v>
      </c>
      <c r="Q44" s="165">
        <f t="shared" si="17"/>
        <v>3824703.4099143753</v>
      </c>
      <c r="R44" s="165">
        <f t="shared" si="17"/>
        <v>3250997.8984272191</v>
      </c>
    </row>
    <row r="45" spans="1:18">
      <c r="A45" s="163" t="s">
        <v>17</v>
      </c>
      <c r="B45" s="163"/>
      <c r="C45" s="165">
        <f t="shared" ref="C45:I45" si="18">$C$44*$B$79</f>
        <v>545640.80939999991</v>
      </c>
      <c r="D45" s="165">
        <f t="shared" si="18"/>
        <v>545640.80939999991</v>
      </c>
      <c r="E45" s="165">
        <f t="shared" si="18"/>
        <v>545640.80939999991</v>
      </c>
      <c r="F45" s="165">
        <f t="shared" si="18"/>
        <v>545640.80939999991</v>
      </c>
      <c r="G45" s="165">
        <f t="shared" si="18"/>
        <v>545640.80939999991</v>
      </c>
      <c r="H45" s="165">
        <f t="shared" si="18"/>
        <v>545640.80939999991</v>
      </c>
      <c r="I45" s="165">
        <f t="shared" si="18"/>
        <v>545640.80939999991</v>
      </c>
      <c r="J45" s="184"/>
      <c r="K45" s="184"/>
      <c r="L45" s="165">
        <f t="shared" ref="L45:R45" si="19">L44*$C$79</f>
        <v>1292987.7</v>
      </c>
      <c r="M45" s="165">
        <f t="shared" si="19"/>
        <v>1099039.5449999999</v>
      </c>
      <c r="N45" s="165">
        <f t="shared" si="19"/>
        <v>934183.61324999994</v>
      </c>
      <c r="O45" s="165">
        <f t="shared" si="19"/>
        <v>794056.07126250002</v>
      </c>
      <c r="P45" s="165">
        <f t="shared" si="19"/>
        <v>674947.660573125</v>
      </c>
      <c r="Q45" s="165">
        <f t="shared" si="19"/>
        <v>573705.51148715627</v>
      </c>
      <c r="R45" s="165">
        <f t="shared" si="19"/>
        <v>487649.68476408283</v>
      </c>
    </row>
    <row r="46" spans="1:18">
      <c r="A46" s="163" t="s">
        <v>199</v>
      </c>
      <c r="B46" s="163"/>
      <c r="C46" s="165">
        <f>C45</f>
        <v>545640.80939999991</v>
      </c>
      <c r="D46" s="165">
        <f t="shared" ref="D46:I46" si="20">C46+D45</f>
        <v>1091281.6187999998</v>
      </c>
      <c r="E46" s="165">
        <f t="shared" si="20"/>
        <v>1636922.4281999997</v>
      </c>
      <c r="F46" s="165">
        <f t="shared" si="20"/>
        <v>2182563.2375999996</v>
      </c>
      <c r="G46" s="165">
        <f t="shared" si="20"/>
        <v>2728204.0469999993</v>
      </c>
      <c r="H46" s="165">
        <f t="shared" si="20"/>
        <v>3273844.856399999</v>
      </c>
      <c r="I46" s="165">
        <f t="shared" si="20"/>
        <v>3819485.6657999987</v>
      </c>
      <c r="J46" s="184"/>
      <c r="K46" s="184"/>
      <c r="L46" s="165">
        <f>L45</f>
        <v>1292987.7</v>
      </c>
      <c r="M46" s="165">
        <f t="shared" ref="M46:R46" si="21">L46+M45</f>
        <v>2392027.2450000001</v>
      </c>
      <c r="N46" s="165">
        <f t="shared" si="21"/>
        <v>3326210.85825</v>
      </c>
      <c r="O46" s="165">
        <f t="shared" si="21"/>
        <v>4120266.9295124998</v>
      </c>
      <c r="P46" s="165">
        <f t="shared" si="21"/>
        <v>4795214.5900856247</v>
      </c>
      <c r="Q46" s="165">
        <f t="shared" si="21"/>
        <v>5368920.1015727809</v>
      </c>
      <c r="R46" s="165">
        <f t="shared" si="21"/>
        <v>5856569.7863368634</v>
      </c>
    </row>
    <row r="47" spans="1:18">
      <c r="A47" s="163" t="s">
        <v>200</v>
      </c>
      <c r="B47" s="163"/>
      <c r="C47" s="165">
        <f t="shared" ref="C47:I47" si="22">C44-C45</f>
        <v>8074277.1906000003</v>
      </c>
      <c r="D47" s="165">
        <f t="shared" si="22"/>
        <v>7528636.3812000006</v>
      </c>
      <c r="E47" s="165">
        <f t="shared" si="22"/>
        <v>6982995.571800001</v>
      </c>
      <c r="F47" s="165">
        <f t="shared" si="22"/>
        <v>6437354.7624000013</v>
      </c>
      <c r="G47" s="165">
        <f t="shared" si="22"/>
        <v>5891713.9530000016</v>
      </c>
      <c r="H47" s="165">
        <f t="shared" si="22"/>
        <v>5346073.1436000019</v>
      </c>
      <c r="I47" s="165">
        <f t="shared" si="22"/>
        <v>4800432.3342000023</v>
      </c>
      <c r="J47" s="184"/>
      <c r="K47" s="184"/>
      <c r="L47" s="165">
        <f t="shared" ref="L47:R47" si="23">L44-L45</f>
        <v>7326930.2999999998</v>
      </c>
      <c r="M47" s="165">
        <f t="shared" si="23"/>
        <v>6227890.7549999999</v>
      </c>
      <c r="N47" s="165">
        <f t="shared" si="23"/>
        <v>5293707.1417500004</v>
      </c>
      <c r="O47" s="165">
        <f t="shared" si="23"/>
        <v>4499651.0704875002</v>
      </c>
      <c r="P47" s="165">
        <f t="shared" si="23"/>
        <v>3824703.4099143753</v>
      </c>
      <c r="Q47" s="165">
        <f t="shared" si="23"/>
        <v>3250997.8984272191</v>
      </c>
      <c r="R47" s="165">
        <f t="shared" si="23"/>
        <v>2763348.2136631361</v>
      </c>
    </row>
    <row r="48" spans="1:18">
      <c r="A48" s="163"/>
      <c r="B48" s="163"/>
      <c r="C48" s="165"/>
      <c r="D48" s="165"/>
      <c r="E48" s="165"/>
      <c r="F48" s="165"/>
      <c r="G48" s="165"/>
      <c r="H48" s="165"/>
      <c r="I48" s="165"/>
      <c r="J48" s="184"/>
      <c r="K48" s="184"/>
      <c r="L48" s="165"/>
      <c r="M48" s="165"/>
      <c r="N48" s="165"/>
      <c r="O48" s="165"/>
      <c r="P48" s="165"/>
      <c r="Q48" s="165"/>
      <c r="R48" s="165"/>
    </row>
    <row r="49" spans="1:18">
      <c r="A49" s="164" t="s">
        <v>203</v>
      </c>
      <c r="B49" s="164"/>
      <c r="C49" s="165"/>
      <c r="D49" s="165"/>
      <c r="E49" s="165"/>
      <c r="F49" s="165"/>
      <c r="G49" s="165"/>
      <c r="H49" s="165"/>
      <c r="I49" s="165"/>
      <c r="J49" s="184"/>
      <c r="K49" s="184"/>
      <c r="L49" s="165"/>
      <c r="M49" s="165"/>
      <c r="N49" s="165"/>
      <c r="O49" s="165"/>
      <c r="P49" s="165"/>
      <c r="Q49" s="165"/>
      <c r="R49" s="165"/>
    </row>
    <row r="50" spans="1:18">
      <c r="A50" s="163" t="s">
        <v>198</v>
      </c>
      <c r="B50" s="163"/>
      <c r="C50" s="165">
        <f>'1.Project Cost and MOF'!D7</f>
        <v>102900</v>
      </c>
      <c r="D50" s="165">
        <f t="shared" ref="D50:I50" si="24">C53</f>
        <v>92610</v>
      </c>
      <c r="E50" s="165">
        <f t="shared" si="24"/>
        <v>82320</v>
      </c>
      <c r="F50" s="165">
        <f t="shared" si="24"/>
        <v>72030</v>
      </c>
      <c r="G50" s="165">
        <f t="shared" si="24"/>
        <v>61740</v>
      </c>
      <c r="H50" s="165">
        <f t="shared" si="24"/>
        <v>51450</v>
      </c>
      <c r="I50" s="165">
        <f t="shared" si="24"/>
        <v>41160</v>
      </c>
      <c r="J50" s="184"/>
      <c r="K50" s="184"/>
      <c r="L50" s="165">
        <f>C50</f>
        <v>102900</v>
      </c>
      <c r="M50" s="165">
        <f t="shared" ref="M50:R50" si="25">L53</f>
        <v>92610</v>
      </c>
      <c r="N50" s="165">
        <f t="shared" si="25"/>
        <v>83349</v>
      </c>
      <c r="O50" s="165">
        <f t="shared" si="25"/>
        <v>75014.100000000006</v>
      </c>
      <c r="P50" s="165">
        <f t="shared" si="25"/>
        <v>67512.69</v>
      </c>
      <c r="Q50" s="165">
        <f t="shared" si="25"/>
        <v>60761.421000000002</v>
      </c>
      <c r="R50" s="165">
        <f t="shared" si="25"/>
        <v>54685.278900000005</v>
      </c>
    </row>
    <row r="51" spans="1:18">
      <c r="A51" s="163" t="s">
        <v>17</v>
      </c>
      <c r="B51" s="163"/>
      <c r="C51" s="165">
        <f t="shared" ref="C51:I51" si="26">$C$50*$B$76</f>
        <v>10290</v>
      </c>
      <c r="D51" s="165">
        <f t="shared" si="26"/>
        <v>10290</v>
      </c>
      <c r="E51" s="165">
        <f t="shared" si="26"/>
        <v>10290</v>
      </c>
      <c r="F51" s="165">
        <f t="shared" si="26"/>
        <v>10290</v>
      </c>
      <c r="G51" s="165">
        <f t="shared" si="26"/>
        <v>10290</v>
      </c>
      <c r="H51" s="165">
        <f t="shared" si="26"/>
        <v>10290</v>
      </c>
      <c r="I51" s="165">
        <f t="shared" si="26"/>
        <v>10290</v>
      </c>
      <c r="J51" s="184"/>
      <c r="K51" s="184"/>
      <c r="L51" s="165">
        <f t="shared" ref="L51:R51" si="27">L50*$C$76</f>
        <v>10290</v>
      </c>
      <c r="M51" s="165">
        <f t="shared" si="27"/>
        <v>9261</v>
      </c>
      <c r="N51" s="165">
        <f t="shared" si="27"/>
        <v>8334.9</v>
      </c>
      <c r="O51" s="165">
        <f t="shared" si="27"/>
        <v>7501.4100000000008</v>
      </c>
      <c r="P51" s="165">
        <f t="shared" si="27"/>
        <v>6751.2690000000002</v>
      </c>
      <c r="Q51" s="165">
        <f t="shared" si="27"/>
        <v>6076.1421000000009</v>
      </c>
      <c r="R51" s="165">
        <f t="shared" si="27"/>
        <v>5468.5278900000012</v>
      </c>
    </row>
    <row r="52" spans="1:18">
      <c r="A52" s="163" t="s">
        <v>199</v>
      </c>
      <c r="B52" s="163"/>
      <c r="C52" s="165">
        <f>C51</f>
        <v>10290</v>
      </c>
      <c r="D52" s="165">
        <f t="shared" ref="D52:I52" si="28">C52+D51</f>
        <v>20580</v>
      </c>
      <c r="E52" s="165">
        <f t="shared" si="28"/>
        <v>30870</v>
      </c>
      <c r="F52" s="165">
        <f t="shared" si="28"/>
        <v>41160</v>
      </c>
      <c r="G52" s="165">
        <f t="shared" si="28"/>
        <v>51450</v>
      </c>
      <c r="H52" s="165">
        <f t="shared" si="28"/>
        <v>61740</v>
      </c>
      <c r="I52" s="165">
        <f t="shared" si="28"/>
        <v>72030</v>
      </c>
      <c r="J52" s="184"/>
      <c r="K52" s="184"/>
      <c r="L52" s="165">
        <f>L51</f>
        <v>10290</v>
      </c>
      <c r="M52" s="165">
        <f t="shared" ref="M52:R52" si="29">L52+M51</f>
        <v>19551</v>
      </c>
      <c r="N52" s="165">
        <f t="shared" si="29"/>
        <v>27885.9</v>
      </c>
      <c r="O52" s="165">
        <f t="shared" si="29"/>
        <v>35387.310000000005</v>
      </c>
      <c r="P52" s="165">
        <f t="shared" si="29"/>
        <v>42138.579000000005</v>
      </c>
      <c r="Q52" s="165">
        <f t="shared" si="29"/>
        <v>48214.72110000001</v>
      </c>
      <c r="R52" s="165">
        <f t="shared" si="29"/>
        <v>53683.248990000007</v>
      </c>
    </row>
    <row r="53" spans="1:18">
      <c r="A53" s="163" t="s">
        <v>200</v>
      </c>
      <c r="B53" s="163"/>
      <c r="C53" s="165">
        <f t="shared" ref="C53:I53" si="30">C50-C51</f>
        <v>92610</v>
      </c>
      <c r="D53" s="165">
        <f t="shared" si="30"/>
        <v>82320</v>
      </c>
      <c r="E53" s="165">
        <f t="shared" si="30"/>
        <v>72030</v>
      </c>
      <c r="F53" s="165">
        <f t="shared" si="30"/>
        <v>61740</v>
      </c>
      <c r="G53" s="165">
        <f t="shared" si="30"/>
        <v>51450</v>
      </c>
      <c r="H53" s="165">
        <f t="shared" si="30"/>
        <v>41160</v>
      </c>
      <c r="I53" s="165">
        <f t="shared" si="30"/>
        <v>30870</v>
      </c>
      <c r="J53" s="184"/>
      <c r="K53" s="184"/>
      <c r="L53" s="165">
        <f t="shared" ref="L53:R53" si="31">L50-L51</f>
        <v>92610</v>
      </c>
      <c r="M53" s="165">
        <f t="shared" si="31"/>
        <v>83349</v>
      </c>
      <c r="N53" s="165">
        <f t="shared" si="31"/>
        <v>75014.100000000006</v>
      </c>
      <c r="O53" s="165">
        <f t="shared" si="31"/>
        <v>67512.69</v>
      </c>
      <c r="P53" s="165">
        <f t="shared" si="31"/>
        <v>60761.421000000002</v>
      </c>
      <c r="Q53" s="165">
        <f t="shared" si="31"/>
        <v>54685.278900000005</v>
      </c>
      <c r="R53" s="165">
        <f t="shared" si="31"/>
        <v>49216.751010000007</v>
      </c>
    </row>
    <row r="54" spans="1:18">
      <c r="A54" s="163"/>
      <c r="B54" s="163"/>
      <c r="C54" s="165"/>
      <c r="D54" s="165"/>
      <c r="E54" s="165"/>
      <c r="F54" s="165"/>
      <c r="G54" s="165"/>
      <c r="H54" s="165"/>
      <c r="I54" s="165"/>
      <c r="J54" s="184"/>
      <c r="K54" s="184"/>
      <c r="L54" s="165"/>
      <c r="M54" s="165"/>
      <c r="N54" s="165"/>
      <c r="O54" s="165"/>
      <c r="P54" s="165"/>
      <c r="Q54" s="165"/>
      <c r="R54" s="165"/>
    </row>
    <row r="55" spans="1:18">
      <c r="A55" s="164" t="s">
        <v>160</v>
      </c>
      <c r="B55" s="164"/>
      <c r="C55" s="165"/>
      <c r="D55" s="165"/>
      <c r="E55" s="165"/>
      <c r="F55" s="165"/>
      <c r="G55" s="165"/>
      <c r="H55" s="165"/>
      <c r="I55" s="165"/>
      <c r="J55" s="184"/>
      <c r="K55" s="184"/>
      <c r="L55" s="165"/>
      <c r="M55" s="165"/>
      <c r="N55" s="165"/>
      <c r="O55" s="165"/>
      <c r="P55" s="165"/>
      <c r="Q55" s="165"/>
      <c r="R55" s="165"/>
    </row>
    <row r="56" spans="1:18">
      <c r="A56" s="163" t="s">
        <v>198</v>
      </c>
      <c r="B56" s="163"/>
      <c r="C56" s="165">
        <f>'1.Project Cost and MOF'!D9</f>
        <v>0</v>
      </c>
      <c r="D56" s="165">
        <f t="shared" ref="D56:I56" si="32">C59</f>
        <v>0</v>
      </c>
      <c r="E56" s="165">
        <f t="shared" si="32"/>
        <v>0</v>
      </c>
      <c r="F56" s="165">
        <f t="shared" si="32"/>
        <v>0</v>
      </c>
      <c r="G56" s="165">
        <f t="shared" si="32"/>
        <v>0</v>
      </c>
      <c r="H56" s="165">
        <f t="shared" si="32"/>
        <v>0</v>
      </c>
      <c r="I56" s="165">
        <f t="shared" si="32"/>
        <v>0</v>
      </c>
      <c r="J56" s="184"/>
      <c r="K56" s="184"/>
      <c r="L56" s="165">
        <f>C56</f>
        <v>0</v>
      </c>
      <c r="M56" s="165">
        <f t="shared" ref="M56:R56" si="33">L59</f>
        <v>0</v>
      </c>
      <c r="N56" s="165">
        <f t="shared" si="33"/>
        <v>0</v>
      </c>
      <c r="O56" s="165">
        <f t="shared" si="33"/>
        <v>0</v>
      </c>
      <c r="P56" s="165">
        <f t="shared" si="33"/>
        <v>0</v>
      </c>
      <c r="Q56" s="165">
        <f t="shared" si="33"/>
        <v>0</v>
      </c>
      <c r="R56" s="165">
        <f t="shared" si="33"/>
        <v>0</v>
      </c>
    </row>
    <row r="57" spans="1:18">
      <c r="A57" s="163" t="s">
        <v>17</v>
      </c>
      <c r="B57" s="163"/>
      <c r="C57" s="165">
        <f t="shared" ref="C57:I57" si="34">$C$56*$B$78</f>
        <v>0</v>
      </c>
      <c r="D57" s="165">
        <f t="shared" si="34"/>
        <v>0</v>
      </c>
      <c r="E57" s="165">
        <f t="shared" si="34"/>
        <v>0</v>
      </c>
      <c r="F57" s="165">
        <f t="shared" si="34"/>
        <v>0</v>
      </c>
      <c r="G57" s="165">
        <f t="shared" si="34"/>
        <v>0</v>
      </c>
      <c r="H57" s="165">
        <f t="shared" si="34"/>
        <v>0</v>
      </c>
      <c r="I57" s="165">
        <f t="shared" si="34"/>
        <v>0</v>
      </c>
      <c r="J57" s="184"/>
      <c r="K57" s="184"/>
      <c r="L57" s="165">
        <f t="shared" ref="L57:R57" si="35">L56*$C$78</f>
        <v>0</v>
      </c>
      <c r="M57" s="165">
        <f t="shared" si="35"/>
        <v>0</v>
      </c>
      <c r="N57" s="165">
        <f t="shared" si="35"/>
        <v>0</v>
      </c>
      <c r="O57" s="165">
        <f t="shared" si="35"/>
        <v>0</v>
      </c>
      <c r="P57" s="165">
        <f t="shared" si="35"/>
        <v>0</v>
      </c>
      <c r="Q57" s="165">
        <f t="shared" si="35"/>
        <v>0</v>
      </c>
      <c r="R57" s="165">
        <f t="shared" si="35"/>
        <v>0</v>
      </c>
    </row>
    <row r="58" spans="1:18">
      <c r="A58" s="163" t="s">
        <v>199</v>
      </c>
      <c r="B58" s="163"/>
      <c r="C58" s="165">
        <f>C57</f>
        <v>0</v>
      </c>
      <c r="D58" s="165">
        <f t="shared" ref="D58:I58" si="36">C58+D57</f>
        <v>0</v>
      </c>
      <c r="E58" s="165">
        <f t="shared" si="36"/>
        <v>0</v>
      </c>
      <c r="F58" s="165">
        <f t="shared" si="36"/>
        <v>0</v>
      </c>
      <c r="G58" s="165">
        <f t="shared" si="36"/>
        <v>0</v>
      </c>
      <c r="H58" s="165">
        <f t="shared" si="36"/>
        <v>0</v>
      </c>
      <c r="I58" s="165">
        <f t="shared" si="36"/>
        <v>0</v>
      </c>
      <c r="J58" s="184"/>
      <c r="K58" s="184"/>
      <c r="L58" s="165">
        <f>L57</f>
        <v>0</v>
      </c>
      <c r="M58" s="165">
        <f t="shared" ref="M58:R58" si="37">L58+M57</f>
        <v>0</v>
      </c>
      <c r="N58" s="165">
        <f t="shared" si="37"/>
        <v>0</v>
      </c>
      <c r="O58" s="165">
        <f t="shared" si="37"/>
        <v>0</v>
      </c>
      <c r="P58" s="165">
        <f t="shared" si="37"/>
        <v>0</v>
      </c>
      <c r="Q58" s="165">
        <f t="shared" si="37"/>
        <v>0</v>
      </c>
      <c r="R58" s="165">
        <f t="shared" si="37"/>
        <v>0</v>
      </c>
    </row>
    <row r="59" spans="1:18">
      <c r="A59" s="163" t="s">
        <v>200</v>
      </c>
      <c r="B59" s="163"/>
      <c r="C59" s="165">
        <f t="shared" ref="C59:I59" si="38">C56-C57</f>
        <v>0</v>
      </c>
      <c r="D59" s="165">
        <f t="shared" si="38"/>
        <v>0</v>
      </c>
      <c r="E59" s="165">
        <f t="shared" si="38"/>
        <v>0</v>
      </c>
      <c r="F59" s="165">
        <f t="shared" si="38"/>
        <v>0</v>
      </c>
      <c r="G59" s="165">
        <f t="shared" si="38"/>
        <v>0</v>
      </c>
      <c r="H59" s="165">
        <f t="shared" si="38"/>
        <v>0</v>
      </c>
      <c r="I59" s="165">
        <f t="shared" si="38"/>
        <v>0</v>
      </c>
      <c r="J59" s="184"/>
      <c r="K59" s="184"/>
      <c r="L59" s="165">
        <f t="shared" ref="L59:R59" si="39">L56-L57</f>
        <v>0</v>
      </c>
      <c r="M59" s="165">
        <f t="shared" si="39"/>
        <v>0</v>
      </c>
      <c r="N59" s="165">
        <f t="shared" si="39"/>
        <v>0</v>
      </c>
      <c r="O59" s="165">
        <f t="shared" si="39"/>
        <v>0</v>
      </c>
      <c r="P59" s="165">
        <f t="shared" si="39"/>
        <v>0</v>
      </c>
      <c r="Q59" s="165">
        <f t="shared" si="39"/>
        <v>0</v>
      </c>
      <c r="R59" s="165">
        <f t="shared" si="39"/>
        <v>0</v>
      </c>
    </row>
    <row r="60" spans="1:18">
      <c r="A60" s="163"/>
      <c r="B60" s="163"/>
      <c r="C60" s="165"/>
      <c r="D60" s="165"/>
      <c r="E60" s="165"/>
      <c r="F60" s="165"/>
      <c r="G60" s="165"/>
      <c r="H60" s="165"/>
      <c r="I60" s="165"/>
      <c r="J60" s="184"/>
      <c r="K60" s="184"/>
      <c r="L60" s="165"/>
      <c r="M60" s="165"/>
      <c r="N60" s="165"/>
      <c r="O60" s="165"/>
      <c r="P60" s="165"/>
      <c r="Q60" s="165"/>
      <c r="R60" s="165"/>
    </row>
    <row r="61" spans="1:18">
      <c r="A61" s="334" t="s">
        <v>333</v>
      </c>
      <c r="B61" s="163"/>
      <c r="C61" s="165"/>
      <c r="D61" s="165"/>
      <c r="E61" s="165"/>
      <c r="F61" s="165"/>
      <c r="G61" s="165"/>
      <c r="H61" s="165"/>
      <c r="I61" s="165"/>
      <c r="J61" s="184"/>
      <c r="K61" s="184"/>
      <c r="L61" s="165"/>
      <c r="M61" s="165"/>
      <c r="N61" s="165"/>
      <c r="O61" s="165"/>
      <c r="P61" s="165"/>
      <c r="Q61" s="165"/>
      <c r="R61" s="165"/>
    </row>
    <row r="62" spans="1:18">
      <c r="A62" s="163" t="str">
        <f>A56</f>
        <v>Asset Value</v>
      </c>
      <c r="B62" s="163"/>
      <c r="C62" s="165">
        <f>'1.Project Cost and MOF'!D8</f>
        <v>290980</v>
      </c>
      <c r="D62" s="165">
        <f t="shared" ref="D62:I62" si="40">C65</f>
        <v>261882</v>
      </c>
      <c r="E62" s="165">
        <f t="shared" si="40"/>
        <v>232784</v>
      </c>
      <c r="F62" s="165">
        <f t="shared" si="40"/>
        <v>203686</v>
      </c>
      <c r="G62" s="165">
        <f t="shared" si="40"/>
        <v>174588</v>
      </c>
      <c r="H62" s="165">
        <f t="shared" si="40"/>
        <v>145490</v>
      </c>
      <c r="I62" s="165">
        <f t="shared" si="40"/>
        <v>116392</v>
      </c>
      <c r="J62" s="184"/>
      <c r="K62" s="184"/>
      <c r="L62" s="165">
        <f>C62</f>
        <v>290980</v>
      </c>
      <c r="M62" s="165">
        <f t="shared" ref="M62:R62" si="41">L65</f>
        <v>174588</v>
      </c>
      <c r="N62" s="165">
        <f t="shared" si="41"/>
        <v>104752.8</v>
      </c>
      <c r="O62" s="165">
        <f t="shared" si="41"/>
        <v>62851.68</v>
      </c>
      <c r="P62" s="165">
        <f t="shared" si="41"/>
        <v>37711.008000000002</v>
      </c>
      <c r="Q62" s="165">
        <f t="shared" si="41"/>
        <v>22626.604800000001</v>
      </c>
      <c r="R62" s="165">
        <f t="shared" si="41"/>
        <v>13575.962880000001</v>
      </c>
    </row>
    <row r="63" spans="1:18">
      <c r="A63" s="163" t="str">
        <f>A57</f>
        <v>Depreciation</v>
      </c>
      <c r="B63" s="163"/>
      <c r="C63" s="165">
        <f t="shared" ref="C63:I63" si="42">$C$62*$B$77</f>
        <v>29098</v>
      </c>
      <c r="D63" s="165">
        <f t="shared" si="42"/>
        <v>29098</v>
      </c>
      <c r="E63" s="165">
        <f t="shared" si="42"/>
        <v>29098</v>
      </c>
      <c r="F63" s="165">
        <f t="shared" si="42"/>
        <v>29098</v>
      </c>
      <c r="G63" s="165">
        <f t="shared" si="42"/>
        <v>29098</v>
      </c>
      <c r="H63" s="165">
        <f t="shared" si="42"/>
        <v>29098</v>
      </c>
      <c r="I63" s="165">
        <f t="shared" si="42"/>
        <v>29098</v>
      </c>
      <c r="J63" s="184"/>
      <c r="K63" s="184"/>
      <c r="L63" s="165">
        <f t="shared" ref="L63:R63" si="43">L62*$C$77</f>
        <v>116392</v>
      </c>
      <c r="M63" s="165">
        <f t="shared" si="43"/>
        <v>69835.199999999997</v>
      </c>
      <c r="N63" s="165">
        <f t="shared" si="43"/>
        <v>41901.120000000003</v>
      </c>
      <c r="O63" s="165">
        <f t="shared" si="43"/>
        <v>25140.672000000002</v>
      </c>
      <c r="P63" s="165">
        <f t="shared" si="43"/>
        <v>15084.403200000001</v>
      </c>
      <c r="Q63" s="165">
        <f t="shared" si="43"/>
        <v>9050.64192</v>
      </c>
      <c r="R63" s="165">
        <f t="shared" si="43"/>
        <v>5430.3851520000007</v>
      </c>
    </row>
    <row r="64" spans="1:18">
      <c r="A64" s="163" t="str">
        <f>A58</f>
        <v>Accumulated Depreciation</v>
      </c>
      <c r="B64" s="163"/>
      <c r="C64" s="165">
        <f>C63</f>
        <v>29098</v>
      </c>
      <c r="D64" s="165">
        <f t="shared" ref="D64:I64" si="44">D63+C64</f>
        <v>58196</v>
      </c>
      <c r="E64" s="165">
        <f t="shared" si="44"/>
        <v>87294</v>
      </c>
      <c r="F64" s="165">
        <f t="shared" si="44"/>
        <v>116392</v>
      </c>
      <c r="G64" s="165">
        <f t="shared" si="44"/>
        <v>145490</v>
      </c>
      <c r="H64" s="165">
        <f t="shared" si="44"/>
        <v>174588</v>
      </c>
      <c r="I64" s="165">
        <f t="shared" si="44"/>
        <v>203686</v>
      </c>
      <c r="J64" s="184"/>
      <c r="K64" s="184"/>
      <c r="L64" s="165">
        <f>L63</f>
        <v>116392</v>
      </c>
      <c r="M64" s="165">
        <f t="shared" ref="M64:R64" si="45">M63+L64</f>
        <v>186227.20000000001</v>
      </c>
      <c r="N64" s="165">
        <f t="shared" si="45"/>
        <v>228128.32</v>
      </c>
      <c r="O64" s="165">
        <f t="shared" si="45"/>
        <v>253268.992</v>
      </c>
      <c r="P64" s="165">
        <f t="shared" si="45"/>
        <v>268353.39520000003</v>
      </c>
      <c r="Q64" s="165">
        <f t="shared" si="45"/>
        <v>277404.03712000005</v>
      </c>
      <c r="R64" s="165">
        <f t="shared" si="45"/>
        <v>282834.42227200005</v>
      </c>
    </row>
    <row r="65" spans="1:18">
      <c r="A65" s="163" t="str">
        <f>A59</f>
        <v>Net Fixed Assets</v>
      </c>
      <c r="B65" s="163"/>
      <c r="C65" s="165">
        <f t="shared" ref="C65:I65" si="46">C62-C63</f>
        <v>261882</v>
      </c>
      <c r="D65" s="165">
        <f t="shared" si="46"/>
        <v>232784</v>
      </c>
      <c r="E65" s="165">
        <f t="shared" si="46"/>
        <v>203686</v>
      </c>
      <c r="F65" s="165">
        <f t="shared" si="46"/>
        <v>174588</v>
      </c>
      <c r="G65" s="165">
        <f t="shared" si="46"/>
        <v>145490</v>
      </c>
      <c r="H65" s="165">
        <f t="shared" si="46"/>
        <v>116392</v>
      </c>
      <c r="I65" s="165">
        <f t="shared" si="46"/>
        <v>87294</v>
      </c>
      <c r="J65" s="184"/>
      <c r="K65" s="184"/>
      <c r="L65" s="165">
        <f t="shared" ref="L65:R65" si="47">L62-L63</f>
        <v>174588</v>
      </c>
      <c r="M65" s="165">
        <f t="shared" si="47"/>
        <v>104752.8</v>
      </c>
      <c r="N65" s="165">
        <f t="shared" si="47"/>
        <v>62851.68</v>
      </c>
      <c r="O65" s="165">
        <f t="shared" si="47"/>
        <v>37711.008000000002</v>
      </c>
      <c r="P65" s="165">
        <f t="shared" si="47"/>
        <v>22626.604800000001</v>
      </c>
      <c r="Q65" s="165">
        <f t="shared" si="47"/>
        <v>13575.962880000001</v>
      </c>
      <c r="R65" s="165">
        <f t="shared" si="47"/>
        <v>8145.5777280000002</v>
      </c>
    </row>
    <row r="66" spans="1:18">
      <c r="A66" s="164" t="s">
        <v>204</v>
      </c>
      <c r="B66" s="164"/>
      <c r="C66" s="166">
        <f t="shared" ref="C66:I69" si="48">C50+C44+C38+C56+C62</f>
        <v>27086798</v>
      </c>
      <c r="D66" s="166">
        <f t="shared" si="48"/>
        <v>25928855.090599999</v>
      </c>
      <c r="E66" s="166">
        <f t="shared" si="48"/>
        <v>24770912.181199998</v>
      </c>
      <c r="F66" s="166">
        <f t="shared" si="48"/>
        <v>23612969.271799996</v>
      </c>
      <c r="G66" s="166">
        <f t="shared" si="48"/>
        <v>22455026.362399999</v>
      </c>
      <c r="H66" s="166">
        <f t="shared" si="48"/>
        <v>21297083.453000002</v>
      </c>
      <c r="I66" s="166">
        <f t="shared" si="48"/>
        <v>20139140.5436</v>
      </c>
      <c r="J66" s="184"/>
      <c r="K66" s="184"/>
      <c r="L66" s="166">
        <f t="shared" ref="L66:R69" si="49">L50+L44+L38+L56+L62</f>
        <v>27086798</v>
      </c>
      <c r="M66" s="166">
        <f t="shared" si="49"/>
        <v>23859828.300000001</v>
      </c>
      <c r="N66" s="166">
        <f t="shared" si="49"/>
        <v>21055122.555</v>
      </c>
      <c r="O66" s="166">
        <f t="shared" si="49"/>
        <v>18606789.921750002</v>
      </c>
      <c r="P66" s="166">
        <f t="shared" si="49"/>
        <v>16462570.068487501</v>
      </c>
      <c r="Q66" s="166">
        <f t="shared" si="49"/>
        <v>14580017.205714379</v>
      </c>
      <c r="R66" s="166">
        <f t="shared" si="49"/>
        <v>12923992.333207222</v>
      </c>
    </row>
    <row r="67" spans="1:18">
      <c r="A67" s="164" t="s">
        <v>205</v>
      </c>
      <c r="B67" s="164"/>
      <c r="C67" s="166">
        <f t="shared" si="48"/>
        <v>1157942.9093999998</v>
      </c>
      <c r="D67" s="166">
        <f t="shared" si="48"/>
        <v>1157942.9093999998</v>
      </c>
      <c r="E67" s="166">
        <f t="shared" si="48"/>
        <v>1157942.9093999998</v>
      </c>
      <c r="F67" s="166">
        <f t="shared" si="48"/>
        <v>1157942.9093999998</v>
      </c>
      <c r="G67" s="166">
        <f t="shared" si="48"/>
        <v>1157942.9093999998</v>
      </c>
      <c r="H67" s="166">
        <f t="shared" si="48"/>
        <v>1157942.9093999998</v>
      </c>
      <c r="I67" s="166">
        <f t="shared" si="48"/>
        <v>1157942.9093999998</v>
      </c>
      <c r="J67" s="184"/>
      <c r="K67" s="184"/>
      <c r="L67" s="166">
        <f t="shared" si="49"/>
        <v>3226969.7</v>
      </c>
      <c r="M67" s="166">
        <f t="shared" si="49"/>
        <v>2804705.7450000001</v>
      </c>
      <c r="N67" s="166">
        <f t="shared" si="49"/>
        <v>2448332.63325</v>
      </c>
      <c r="O67" s="166">
        <f t="shared" si="49"/>
        <v>2144219.8532624999</v>
      </c>
      <c r="P67" s="166">
        <f t="shared" si="49"/>
        <v>1882552.8627731251</v>
      </c>
      <c r="Q67" s="166">
        <f t="shared" si="49"/>
        <v>1656024.8725071566</v>
      </c>
      <c r="R67" s="166">
        <f t="shared" si="49"/>
        <v>1459021.9171060831</v>
      </c>
    </row>
    <row r="68" spans="1:18">
      <c r="A68" s="164" t="s">
        <v>206</v>
      </c>
      <c r="B68" s="164"/>
      <c r="C68" s="166">
        <f t="shared" si="48"/>
        <v>1157942.9093999998</v>
      </c>
      <c r="D68" s="166">
        <f t="shared" si="48"/>
        <v>2315885.8187999995</v>
      </c>
      <c r="E68" s="166">
        <f t="shared" si="48"/>
        <v>3473828.7281999998</v>
      </c>
      <c r="F68" s="166">
        <f t="shared" si="48"/>
        <v>4631771.6375999991</v>
      </c>
      <c r="G68" s="166">
        <f t="shared" si="48"/>
        <v>5789714.5469999993</v>
      </c>
      <c r="H68" s="166">
        <f t="shared" si="48"/>
        <v>6947657.4563999996</v>
      </c>
      <c r="I68" s="166">
        <f t="shared" si="48"/>
        <v>8105600.3657999989</v>
      </c>
      <c r="J68" s="184"/>
      <c r="K68" s="184"/>
      <c r="L68" s="166">
        <f t="shared" si="49"/>
        <v>3226969.7</v>
      </c>
      <c r="M68" s="166">
        <f t="shared" si="49"/>
        <v>6031675.4450000003</v>
      </c>
      <c r="N68" s="166">
        <f t="shared" si="49"/>
        <v>8480008.0782500003</v>
      </c>
      <c r="O68" s="166">
        <f t="shared" si="49"/>
        <v>10624227.931512501</v>
      </c>
      <c r="P68" s="166">
        <f t="shared" si="49"/>
        <v>12506780.794285625</v>
      </c>
      <c r="Q68" s="166">
        <f t="shared" si="49"/>
        <v>14162805.66679278</v>
      </c>
      <c r="R68" s="166">
        <f t="shared" si="49"/>
        <v>15621827.583898865</v>
      </c>
    </row>
    <row r="69" spans="1:18">
      <c r="A69" s="164" t="s">
        <v>200</v>
      </c>
      <c r="B69" s="164"/>
      <c r="C69" s="166">
        <f t="shared" si="48"/>
        <v>25928855.090599999</v>
      </c>
      <c r="D69" s="166">
        <f t="shared" si="48"/>
        <v>24770912.181199998</v>
      </c>
      <c r="E69" s="166">
        <f t="shared" si="48"/>
        <v>23612969.271799996</v>
      </c>
      <c r="F69" s="166">
        <f t="shared" si="48"/>
        <v>22455026.362399999</v>
      </c>
      <c r="G69" s="166">
        <f t="shared" si="48"/>
        <v>21297083.453000002</v>
      </c>
      <c r="H69" s="166">
        <f t="shared" si="48"/>
        <v>20139140.5436</v>
      </c>
      <c r="I69" s="166">
        <f t="shared" si="48"/>
        <v>18981197.634199999</v>
      </c>
      <c r="J69" s="184"/>
      <c r="K69" s="184"/>
      <c r="L69" s="166">
        <f t="shared" si="49"/>
        <v>23859828.300000001</v>
      </c>
      <c r="M69" s="166">
        <f t="shared" si="49"/>
        <v>21055122.555</v>
      </c>
      <c r="N69" s="166">
        <f t="shared" si="49"/>
        <v>18606789.921750002</v>
      </c>
      <c r="O69" s="166">
        <f t="shared" si="49"/>
        <v>16462570.068487501</v>
      </c>
      <c r="P69" s="166">
        <f t="shared" si="49"/>
        <v>14580017.205714379</v>
      </c>
      <c r="Q69" s="166">
        <f t="shared" si="49"/>
        <v>12923992.333207222</v>
      </c>
      <c r="R69" s="166">
        <f t="shared" si="49"/>
        <v>11464970.416101139</v>
      </c>
    </row>
    <row r="70" spans="1:18">
      <c r="A70" s="168"/>
      <c r="B70" s="168"/>
      <c r="C70" s="169"/>
      <c r="D70" s="169"/>
      <c r="E70" s="169"/>
      <c r="F70" s="169"/>
      <c r="G70" s="169"/>
      <c r="H70" s="169"/>
      <c r="I70" s="169"/>
      <c r="J70" s="92"/>
      <c r="K70" s="92"/>
    </row>
    <row r="71" spans="1:18">
      <c r="A71" s="92"/>
      <c r="B71" s="92"/>
      <c r="C71" s="92"/>
      <c r="D71" s="92"/>
      <c r="E71" s="92"/>
      <c r="F71" s="92"/>
      <c r="G71" s="92"/>
      <c r="H71" s="92"/>
      <c r="I71" s="92"/>
      <c r="J71" s="92"/>
      <c r="K71" s="92"/>
    </row>
    <row r="72" spans="1:18" ht="28.2">
      <c r="A72" s="170" t="s">
        <v>207</v>
      </c>
      <c r="B72" s="171" t="s">
        <v>208</v>
      </c>
      <c r="C72" s="172" t="s">
        <v>209</v>
      </c>
      <c r="D72" s="92"/>
      <c r="E72" s="92"/>
      <c r="F72" s="92"/>
      <c r="G72" s="92"/>
      <c r="H72" s="92"/>
      <c r="I72" s="92"/>
      <c r="J72" s="92"/>
      <c r="K72" s="92"/>
    </row>
    <row r="73" spans="1:18" ht="28.2">
      <c r="A73" s="173" t="s">
        <v>210</v>
      </c>
      <c r="B73" s="171" t="s">
        <v>211</v>
      </c>
      <c r="C73" s="172" t="s">
        <v>212</v>
      </c>
      <c r="D73" s="92"/>
      <c r="E73" s="92"/>
      <c r="F73" s="92"/>
      <c r="G73" s="92"/>
      <c r="H73" s="92"/>
      <c r="I73" s="92"/>
      <c r="J73" s="92"/>
      <c r="K73" s="92"/>
    </row>
    <row r="74" spans="1:18">
      <c r="A74" s="173" t="s">
        <v>148</v>
      </c>
      <c r="B74" s="174">
        <v>0</v>
      </c>
      <c r="C74" s="174">
        <v>0</v>
      </c>
      <c r="D74" s="92"/>
      <c r="E74" s="92"/>
      <c r="F74" s="92"/>
      <c r="G74" s="92"/>
      <c r="H74" s="92"/>
      <c r="I74" s="92"/>
      <c r="J74" s="92"/>
      <c r="K74" s="92"/>
    </row>
    <row r="75" spans="1:18">
      <c r="A75" s="175" t="s">
        <v>201</v>
      </c>
      <c r="B75" s="174">
        <v>3.1699999999999999E-2</v>
      </c>
      <c r="C75" s="174">
        <v>0.1</v>
      </c>
      <c r="D75" s="176"/>
      <c r="E75" s="92"/>
      <c r="F75" s="92"/>
      <c r="G75" s="92"/>
      <c r="H75" s="92"/>
      <c r="I75" s="92"/>
      <c r="J75" s="92"/>
      <c r="K75" s="92"/>
    </row>
    <row r="76" spans="1:18">
      <c r="A76" s="175" t="s">
        <v>203</v>
      </c>
      <c r="B76" s="177">
        <v>0.1</v>
      </c>
      <c r="C76" s="174">
        <v>0.1</v>
      </c>
      <c r="D76" s="92"/>
      <c r="E76" s="92"/>
      <c r="F76" s="92"/>
      <c r="G76" s="92"/>
      <c r="H76" s="92"/>
      <c r="I76" s="92"/>
      <c r="J76" s="92"/>
      <c r="K76" s="92"/>
    </row>
    <row r="77" spans="1:18">
      <c r="A77" s="92" t="s">
        <v>213</v>
      </c>
      <c r="B77" s="177">
        <v>0.1</v>
      </c>
      <c r="C77" s="177">
        <v>0.4</v>
      </c>
      <c r="D77" s="92"/>
      <c r="E77" s="92"/>
      <c r="F77" s="92"/>
      <c r="G77" s="92"/>
      <c r="H77" s="92"/>
      <c r="I77" s="92"/>
      <c r="J77" s="92"/>
      <c r="K77" s="92"/>
    </row>
    <row r="78" spans="1:18">
      <c r="A78" s="92" t="s">
        <v>277</v>
      </c>
      <c r="B78" s="177">
        <v>0.1188</v>
      </c>
      <c r="C78" s="177">
        <v>0.15</v>
      </c>
      <c r="D78" s="92"/>
      <c r="E78" s="92"/>
      <c r="F78" s="92"/>
      <c r="G78" s="92"/>
      <c r="H78" s="92"/>
      <c r="I78" s="92"/>
      <c r="J78" s="92"/>
      <c r="K78" s="92"/>
    </row>
    <row r="79" spans="1:18">
      <c r="A79" s="175" t="s">
        <v>214</v>
      </c>
      <c r="B79" s="177">
        <v>6.3299999999999995E-2</v>
      </c>
      <c r="C79" s="177">
        <v>0.15</v>
      </c>
      <c r="D79" s="92"/>
      <c r="E79" s="92"/>
      <c r="F79" s="92"/>
      <c r="G79" s="92"/>
      <c r="H79" s="92"/>
      <c r="I79" s="92"/>
      <c r="J79" s="92"/>
      <c r="K79" s="92"/>
    </row>
    <row r="80" spans="1:18" ht="28.2">
      <c r="A80" s="173" t="s">
        <v>207</v>
      </c>
      <c r="B80" s="174"/>
      <c r="C80" s="178"/>
      <c r="D80" s="92"/>
      <c r="E80" s="92"/>
      <c r="F80" s="92"/>
      <c r="G80" s="92"/>
      <c r="H80" s="92"/>
      <c r="I80" s="92"/>
      <c r="J80" s="92"/>
      <c r="K80" s="92"/>
    </row>
    <row r="81" spans="1:13">
      <c r="A81" s="175" t="s">
        <v>215</v>
      </c>
      <c r="B81" s="178">
        <v>0.2</v>
      </c>
      <c r="C81" s="179">
        <v>0.2</v>
      </c>
      <c r="D81" s="92"/>
      <c r="E81" s="92"/>
      <c r="F81" s="92"/>
      <c r="G81" s="92"/>
      <c r="H81" s="92"/>
      <c r="I81" s="92"/>
      <c r="J81" s="92"/>
      <c r="K81" s="92"/>
    </row>
    <row r="82" spans="1:13">
      <c r="A82" s="92"/>
      <c r="B82" s="92"/>
      <c r="C82" s="92"/>
      <c r="D82" s="92"/>
      <c r="E82" s="92"/>
      <c r="F82" s="92"/>
      <c r="G82" s="92"/>
      <c r="H82" s="92"/>
      <c r="I82" s="92"/>
      <c r="J82" s="92"/>
      <c r="K82" s="92"/>
    </row>
    <row r="83" spans="1:13">
      <c r="A83" s="92"/>
      <c r="B83" s="92"/>
      <c r="C83" s="92"/>
      <c r="D83" s="92"/>
      <c r="E83" s="180"/>
      <c r="F83" s="92"/>
      <c r="G83" s="92"/>
      <c r="H83" s="92"/>
      <c r="I83" s="92"/>
      <c r="J83" s="92"/>
      <c r="K83" s="92"/>
    </row>
    <row r="84" spans="1:13" s="63" customFormat="1" ht="17.399999999999999">
      <c r="A84" s="428" t="s">
        <v>561</v>
      </c>
      <c r="B84" s="428"/>
      <c r="C84" s="428"/>
      <c r="D84" s="428"/>
      <c r="E84" s="428"/>
      <c r="F84" s="428"/>
      <c r="G84" s="428"/>
      <c r="H84" s="428"/>
      <c r="I84" s="428"/>
      <c r="J84" s="428"/>
      <c r="K84" s="387"/>
    </row>
    <row r="85" spans="1:13" s="63" customFormat="1">
      <c r="A85" s="34"/>
      <c r="B85" s="34"/>
    </row>
    <row r="86" spans="1:13" s="63" customFormat="1">
      <c r="A86" s="151" t="s">
        <v>0</v>
      </c>
      <c r="B86" s="152" t="s">
        <v>343</v>
      </c>
      <c r="C86" s="153" t="s">
        <v>2</v>
      </c>
      <c r="D86" s="153" t="s">
        <v>3</v>
      </c>
      <c r="E86" s="153" t="s">
        <v>4</v>
      </c>
      <c r="F86" s="153" t="s">
        <v>5</v>
      </c>
      <c r="G86" s="153" t="s">
        <v>6</v>
      </c>
      <c r="H86" s="153" t="s">
        <v>170</v>
      </c>
      <c r="I86" s="153" t="s">
        <v>169</v>
      </c>
      <c r="J86" s="36"/>
      <c r="K86" s="36"/>
      <c r="L86" s="36"/>
      <c r="M86" s="36"/>
    </row>
    <row r="87" spans="1:13" s="63" customFormat="1">
      <c r="A87" s="154" t="s">
        <v>255</v>
      </c>
      <c r="B87" s="155">
        <v>5</v>
      </c>
      <c r="C87" s="156">
        <f>'1.Project Cost and MOF'!$D$10/5</f>
        <v>192780</v>
      </c>
      <c r="D87" s="156">
        <f>'1.Project Cost and MOF'!$D$10/5</f>
        <v>192780</v>
      </c>
      <c r="E87" s="156">
        <f>'1.Project Cost and MOF'!$D$10/5</f>
        <v>192780</v>
      </c>
      <c r="F87" s="156">
        <f>'1.Project Cost and MOF'!$D$10/5</f>
        <v>192780</v>
      </c>
      <c r="G87" s="156">
        <f>'1.Project Cost and MOF'!$D$10/5</f>
        <v>192780</v>
      </c>
      <c r="H87" s="156">
        <v>0</v>
      </c>
      <c r="I87" s="156">
        <v>0</v>
      </c>
      <c r="J87" s="36"/>
      <c r="K87" s="36"/>
      <c r="L87" s="36"/>
      <c r="M87" s="36"/>
    </row>
    <row r="88" spans="1:13" s="63" customFormat="1">
      <c r="A88" s="157" t="s">
        <v>344</v>
      </c>
      <c r="B88" s="158"/>
      <c r="C88" s="159">
        <f t="shared" ref="C88:I88" si="50">SUM(C86:C87)</f>
        <v>192780</v>
      </c>
      <c r="D88" s="159">
        <f t="shared" si="50"/>
        <v>192780</v>
      </c>
      <c r="E88" s="159">
        <f t="shared" si="50"/>
        <v>192780</v>
      </c>
      <c r="F88" s="159">
        <f t="shared" si="50"/>
        <v>192780</v>
      </c>
      <c r="G88" s="159">
        <f t="shared" si="50"/>
        <v>192780</v>
      </c>
      <c r="H88" s="159">
        <f t="shared" si="50"/>
        <v>0</v>
      </c>
      <c r="I88" s="159">
        <f t="shared" si="50"/>
        <v>0</v>
      </c>
      <c r="J88" s="64"/>
      <c r="K88" s="64"/>
      <c r="L88" s="64"/>
      <c r="M88" s="64"/>
    </row>
    <row r="89" spans="1:13" s="63" customFormat="1">
      <c r="C89" s="36"/>
      <c r="D89" s="36"/>
      <c r="E89" s="36"/>
      <c r="F89" s="36"/>
      <c r="G89" s="36"/>
      <c r="H89" s="36"/>
      <c r="I89" s="36"/>
      <c r="J89" s="36"/>
      <c r="K89" s="36"/>
      <c r="L89" s="36"/>
      <c r="M89" s="36"/>
    </row>
    <row r="92" spans="1:13">
      <c r="A92" s="32"/>
      <c r="B92" s="33"/>
      <c r="C92" s="33"/>
      <c r="D92" s="33"/>
      <c r="E92" s="33"/>
      <c r="F92" s="33"/>
      <c r="G92" s="33"/>
      <c r="H92" s="33"/>
      <c r="I92" s="33"/>
      <c r="J92" s="33"/>
      <c r="K92" s="33"/>
      <c r="L92" s="33"/>
    </row>
    <row r="93" spans="1:13" ht="17.399999999999999">
      <c r="A93" s="439" t="s">
        <v>562</v>
      </c>
      <c r="B93" s="439"/>
      <c r="C93" s="439"/>
      <c r="D93" s="439"/>
      <c r="E93" s="439"/>
      <c r="F93" s="439"/>
      <c r="G93" s="439"/>
      <c r="H93" s="439"/>
      <c r="I93" s="148"/>
      <c r="J93" s="148"/>
      <c r="K93" s="148"/>
      <c r="L93" s="148"/>
    </row>
    <row r="94" spans="1:13">
      <c r="A94" s="34"/>
      <c r="B94" s="33"/>
      <c r="C94" s="33"/>
      <c r="D94" s="33"/>
      <c r="E94" s="33"/>
      <c r="F94" s="33"/>
      <c r="G94" s="33"/>
      <c r="H94" s="33"/>
      <c r="I94" s="33"/>
      <c r="J94" s="33"/>
      <c r="K94" s="33"/>
      <c r="L94" s="33"/>
    </row>
    <row r="95" spans="1:13">
      <c r="A95" s="146" t="s">
        <v>0</v>
      </c>
      <c r="B95" s="146"/>
      <c r="C95" s="118" t="s">
        <v>2</v>
      </c>
      <c r="D95" s="118" t="s">
        <v>3</v>
      </c>
      <c r="E95" s="118" t="s">
        <v>4</v>
      </c>
      <c r="F95" s="118" t="s">
        <v>5</v>
      </c>
      <c r="G95" s="118" t="s">
        <v>6</v>
      </c>
      <c r="H95" s="118" t="s">
        <v>170</v>
      </c>
      <c r="I95" s="118" t="s">
        <v>169</v>
      </c>
      <c r="J95" s="27"/>
      <c r="K95" s="27"/>
      <c r="L95" s="27"/>
      <c r="M95" s="27"/>
    </row>
    <row r="96" spans="1:13">
      <c r="A96" s="86" t="s">
        <v>228</v>
      </c>
      <c r="B96" s="86"/>
      <c r="C96" s="149">
        <f>'6.Cons Profit &amp; Loss'!B49</f>
        <v>-206907.52523295116</v>
      </c>
      <c r="D96" s="149">
        <f>'6.Cons Profit &amp; Loss'!C49</f>
        <v>252127.06629509991</v>
      </c>
      <c r="E96" s="149">
        <f>'6.Cons Profit &amp; Loss'!D49</f>
        <v>848404.61523056193</v>
      </c>
      <c r="F96" s="149">
        <f>'6.Cons Profit &amp; Loss'!E49</f>
        <v>1531772.583027475</v>
      </c>
      <c r="G96" s="149">
        <f>'6.Cons Profit &amp; Loss'!F49</f>
        <v>2246413.6667904323</v>
      </c>
      <c r="H96" s="149">
        <f>'6.Cons Profit &amp; Loss'!G49</f>
        <v>3092430.8667359469</v>
      </c>
      <c r="I96" s="149">
        <f>'6.Cons Profit &amp; Loss'!H49</f>
        <v>3768687.0053217034</v>
      </c>
      <c r="J96" s="35"/>
      <c r="K96" s="35"/>
      <c r="L96" s="35"/>
      <c r="M96" s="35"/>
    </row>
    <row r="97" spans="1:13">
      <c r="A97" s="86" t="s">
        <v>229</v>
      </c>
      <c r="B97" s="86"/>
      <c r="C97" s="149">
        <f>'6.Cons Profit &amp; Loss'!B42</f>
        <v>1157942.9093999998</v>
      </c>
      <c r="D97" s="149">
        <f>'6.Cons Profit &amp; Loss'!C42</f>
        <v>1157942.9093999998</v>
      </c>
      <c r="E97" s="149">
        <f>'6.Cons Profit &amp; Loss'!D42</f>
        <v>1157942.9093999998</v>
      </c>
      <c r="F97" s="149">
        <f>'6.Cons Profit &amp; Loss'!E42</f>
        <v>1157942.9093999998</v>
      </c>
      <c r="G97" s="149">
        <f>'6.Cons Profit &amp; Loss'!F42</f>
        <v>1157942.9093999998</v>
      </c>
      <c r="H97" s="149">
        <f>'6.Cons Profit &amp; Loss'!G42</f>
        <v>1157942.9093999998</v>
      </c>
      <c r="I97" s="149">
        <f>'6.Cons Profit &amp; Loss'!H42</f>
        <v>1157942.9093999998</v>
      </c>
      <c r="J97" s="35"/>
      <c r="K97" s="35"/>
      <c r="L97" s="35"/>
      <c r="M97" s="35"/>
    </row>
    <row r="98" spans="1:13">
      <c r="A98" s="86" t="s">
        <v>230</v>
      </c>
      <c r="B98" s="86"/>
      <c r="C98" s="149">
        <f>'3.Other Exp &amp; Taxes'!L67</f>
        <v>3226969.7</v>
      </c>
      <c r="D98" s="149">
        <f>'3.Other Exp &amp; Taxes'!M67</f>
        <v>2804705.7450000001</v>
      </c>
      <c r="E98" s="149">
        <f>'3.Other Exp &amp; Taxes'!N67</f>
        <v>2448332.63325</v>
      </c>
      <c r="F98" s="149">
        <f>'3.Other Exp &amp; Taxes'!O67</f>
        <v>2144219.8532624999</v>
      </c>
      <c r="G98" s="149">
        <f>'3.Other Exp &amp; Taxes'!P67</f>
        <v>1882552.8627731251</v>
      </c>
      <c r="H98" s="149">
        <f>'3.Other Exp &amp; Taxes'!Q67</f>
        <v>1656024.8725071566</v>
      </c>
      <c r="I98" s="149">
        <f>'3.Other Exp &amp; Taxes'!R67</f>
        <v>1459021.9171060831</v>
      </c>
      <c r="J98" s="35"/>
      <c r="K98" s="35"/>
      <c r="L98" s="35"/>
      <c r="M98" s="35"/>
    </row>
    <row r="99" spans="1:13">
      <c r="A99" s="86" t="s">
        <v>290</v>
      </c>
      <c r="B99" s="86"/>
      <c r="C99" s="149">
        <f t="shared" ref="C99:I99" si="51">C96+C97-C98</f>
        <v>-2275934.3158329516</v>
      </c>
      <c r="D99" s="149">
        <f t="shared" si="51"/>
        <v>-1394635.7693049004</v>
      </c>
      <c r="E99" s="149">
        <f t="shared" si="51"/>
        <v>-441985.10861943825</v>
      </c>
      <c r="F99" s="149">
        <f t="shared" si="51"/>
        <v>545495.63916497491</v>
      </c>
      <c r="G99" s="149">
        <f t="shared" si="51"/>
        <v>1521803.713417307</v>
      </c>
      <c r="H99" s="149">
        <f t="shared" si="51"/>
        <v>2594348.9036287898</v>
      </c>
      <c r="I99" s="149">
        <f t="shared" si="51"/>
        <v>3467607.99761562</v>
      </c>
      <c r="J99" s="35"/>
      <c r="K99" s="35"/>
      <c r="L99" s="35"/>
      <c r="M99" s="35"/>
    </row>
    <row r="100" spans="1:13">
      <c r="A100" s="86" t="s">
        <v>713</v>
      </c>
      <c r="B100" s="86">
        <v>0</v>
      </c>
      <c r="C100" s="149">
        <f>IF(C99&lt;=0,C99,0)</f>
        <v>-2275934.3158329516</v>
      </c>
      <c r="D100" s="149">
        <f t="shared" ref="D100:I100" si="52">IF(D99&lt;=0,D99,0)</f>
        <v>-1394635.7693049004</v>
      </c>
      <c r="E100" s="149">
        <f t="shared" si="52"/>
        <v>-441985.10861943825</v>
      </c>
      <c r="F100" s="149">
        <f t="shared" si="52"/>
        <v>0</v>
      </c>
      <c r="G100" s="149">
        <f t="shared" si="52"/>
        <v>0</v>
      </c>
      <c r="H100" s="149">
        <f t="shared" si="52"/>
        <v>0</v>
      </c>
      <c r="I100" s="149">
        <f t="shared" si="52"/>
        <v>0</v>
      </c>
      <c r="J100" s="35"/>
      <c r="K100" s="35"/>
      <c r="L100" s="35"/>
      <c r="M100" s="35"/>
    </row>
    <row r="101" spans="1:13">
      <c r="A101" s="86" t="s">
        <v>714</v>
      </c>
      <c r="B101" s="86"/>
      <c r="C101" s="149">
        <f>IF(AND(C100&gt;=0,(C99-C100)&gt;=0),C99-C100+B100,0)</f>
        <v>0</v>
      </c>
      <c r="D101" s="149">
        <f t="shared" ref="D101:F101" si="53">IF(AND(D100&gt;=0,(D99-D100)&gt;=0),D99-D100+C100,0)</f>
        <v>0</v>
      </c>
      <c r="E101" s="149">
        <f t="shared" si="53"/>
        <v>0</v>
      </c>
      <c r="F101" s="149">
        <f t="shared" si="53"/>
        <v>103510.53054553666</v>
      </c>
      <c r="G101" s="149">
        <f>IF(AND(G100&gt;=0,(G99-G100)&gt;=0),G99-G100+F100,0)</f>
        <v>1521803.713417307</v>
      </c>
      <c r="H101" s="149">
        <f>IF(AND(H100&gt;=0,(H99-H100)&gt;=0),H99-H100+G100,0)</f>
        <v>2594348.9036287898</v>
      </c>
      <c r="I101" s="149">
        <f>IF(AND(I100&gt;=0,(I99-I100)&gt;=0),I99-I100+H100,0)</f>
        <v>3467607.99761562</v>
      </c>
      <c r="J101" s="35"/>
      <c r="K101" s="35"/>
      <c r="L101" s="35"/>
      <c r="M101" s="35"/>
    </row>
    <row r="102" spans="1:13">
      <c r="A102" s="88" t="s">
        <v>716</v>
      </c>
      <c r="B102" s="88"/>
      <c r="C102" s="150">
        <f>C101*$C$105</f>
        <v>0</v>
      </c>
      <c r="D102" s="150">
        <f t="shared" ref="D102:I102" si="54">D101*$C$105</f>
        <v>0</v>
      </c>
      <c r="E102" s="150">
        <f t="shared" si="54"/>
        <v>0</v>
      </c>
      <c r="F102" s="150">
        <f t="shared" si="54"/>
        <v>26912.737941839532</v>
      </c>
      <c r="G102" s="150">
        <f t="shared" si="54"/>
        <v>395668.96548849985</v>
      </c>
      <c r="H102" s="150">
        <f t="shared" si="54"/>
        <v>674530.71494348533</v>
      </c>
      <c r="I102" s="150">
        <f t="shared" si="54"/>
        <v>901578.07938006124</v>
      </c>
      <c r="J102" s="35"/>
      <c r="K102" s="35"/>
      <c r="L102" s="35"/>
      <c r="M102" s="35"/>
    </row>
    <row r="103" spans="1:13">
      <c r="A103" s="390" t="s">
        <v>715</v>
      </c>
      <c r="B103" s="390"/>
      <c r="C103" s="391">
        <f>ROUND(IF(C96&gt;=0,C96*$C$106,0),0)</f>
        <v>0</v>
      </c>
      <c r="D103" s="391">
        <f t="shared" ref="D103:I103" si="55">ROUND(IF(D96&gt;=0,D96*$C$106,0),0)</f>
        <v>47904</v>
      </c>
      <c r="E103" s="391">
        <f t="shared" si="55"/>
        <v>161197</v>
      </c>
      <c r="F103" s="391">
        <f t="shared" si="55"/>
        <v>291037</v>
      </c>
      <c r="G103" s="391">
        <f t="shared" si="55"/>
        <v>426819</v>
      </c>
      <c r="H103" s="391">
        <f t="shared" si="55"/>
        <v>587562</v>
      </c>
      <c r="I103" s="391">
        <f t="shared" si="55"/>
        <v>716051</v>
      </c>
      <c r="J103" s="33"/>
      <c r="K103" s="33"/>
      <c r="L103" s="33"/>
      <c r="M103" s="33"/>
    </row>
    <row r="104" spans="1:13">
      <c r="A104" s="393" t="s">
        <v>717</v>
      </c>
      <c r="B104" s="393"/>
      <c r="C104" s="394">
        <f>MAX(C102,C103)</f>
        <v>0</v>
      </c>
      <c r="D104" s="394">
        <f t="shared" ref="D104:I104" si="56">MAX(D102,D103)</f>
        <v>47904</v>
      </c>
      <c r="E104" s="394">
        <f t="shared" si="56"/>
        <v>161197</v>
      </c>
      <c r="F104" s="394">
        <f t="shared" si="56"/>
        <v>291037</v>
      </c>
      <c r="G104" s="394">
        <f t="shared" si="56"/>
        <v>426819</v>
      </c>
      <c r="H104" s="394">
        <f t="shared" si="56"/>
        <v>674530.71494348533</v>
      </c>
      <c r="I104" s="394">
        <f t="shared" si="56"/>
        <v>901578.07938006124</v>
      </c>
      <c r="J104" s="36"/>
      <c r="K104" s="36"/>
      <c r="L104" s="36"/>
      <c r="M104" s="36"/>
    </row>
    <row r="105" spans="1:13">
      <c r="A105" s="37" t="s">
        <v>398</v>
      </c>
      <c r="B105" s="396"/>
      <c r="C105" s="282">
        <v>0.26</v>
      </c>
      <c r="D105" s="36"/>
      <c r="E105" s="36"/>
      <c r="F105" s="36"/>
      <c r="G105" s="36"/>
      <c r="H105" s="36"/>
      <c r="I105" s="36"/>
      <c r="J105" s="36"/>
      <c r="K105" s="36"/>
      <c r="L105" s="36"/>
      <c r="M105" s="36"/>
    </row>
    <row r="106" spans="1:13">
      <c r="A106" s="33" t="s">
        <v>718</v>
      </c>
      <c r="B106" s="33"/>
      <c r="C106" s="392">
        <v>0.19</v>
      </c>
      <c r="D106" s="33"/>
      <c r="E106" s="33"/>
      <c r="F106" s="33"/>
      <c r="G106" s="33"/>
      <c r="H106" s="33"/>
      <c r="I106" s="33"/>
      <c r="J106" s="33"/>
      <c r="K106" s="33"/>
      <c r="L106" s="33"/>
      <c r="M106" s="33"/>
    </row>
    <row r="107" spans="1:13" ht="29.1" customHeight="1">
      <c r="A107" s="440" t="s">
        <v>429</v>
      </c>
      <c r="B107" s="440"/>
      <c r="C107" s="440"/>
      <c r="D107" s="440"/>
      <c r="E107" s="440"/>
      <c r="F107" s="440"/>
      <c r="G107" s="440"/>
      <c r="H107" s="440"/>
      <c r="I107" s="31"/>
      <c r="J107" s="31"/>
      <c r="K107" s="31"/>
      <c r="L107" s="31"/>
    </row>
    <row r="109" spans="1:13">
      <c r="D109" s="395"/>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45"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14"/>
  <sheetViews>
    <sheetView topLeftCell="A76" zoomScale="145" zoomScaleNormal="145" zoomScaleSheetLayoutView="80" workbookViewId="0">
      <selection activeCell="C92" sqref="C92"/>
    </sheetView>
  </sheetViews>
  <sheetFormatPr defaultRowHeight="14.4"/>
  <cols>
    <col min="2" max="2" width="12.5546875" customWidth="1"/>
    <col min="3" max="3" width="15.109375" customWidth="1"/>
    <col min="4" max="4" width="13.5546875" customWidth="1"/>
    <col min="5" max="5" width="14.5546875" customWidth="1"/>
    <col min="6" max="6" width="12.109375" customWidth="1"/>
    <col min="7" max="7" width="15" customWidth="1"/>
    <col min="8" max="8" width="13.33203125" bestFit="1" customWidth="1"/>
    <col min="9" max="9" width="11.6640625" bestFit="1" customWidth="1"/>
    <col min="10" max="10" width="10.6640625" bestFit="1" customWidth="1"/>
  </cols>
  <sheetData>
    <row r="2" spans="1:8" ht="17.399999999999999">
      <c r="A2" s="426" t="s">
        <v>563</v>
      </c>
      <c r="B2" s="426"/>
      <c r="C2" s="426"/>
      <c r="D2" s="426"/>
      <c r="E2" s="426"/>
      <c r="F2" s="426"/>
      <c r="G2" s="444"/>
    </row>
    <row r="3" spans="1:8">
      <c r="B3" s="14"/>
      <c r="C3" s="14"/>
      <c r="D3" s="14"/>
      <c r="E3" s="14"/>
      <c r="F3" s="14"/>
      <c r="G3" s="14"/>
    </row>
    <row r="4" spans="1:8">
      <c r="A4" s="92"/>
      <c r="B4" s="92"/>
      <c r="C4" s="92" t="s">
        <v>468</v>
      </c>
      <c r="D4" s="110">
        <f>'1.Project Cost and MOF'!E20</f>
        <v>9817744.2999999989</v>
      </c>
      <c r="E4" s="92"/>
      <c r="F4" s="92"/>
      <c r="G4" s="92"/>
    </row>
    <row r="5" spans="1:8">
      <c r="A5" s="92"/>
      <c r="B5" s="92"/>
      <c r="C5" s="92" t="s">
        <v>469</v>
      </c>
      <c r="D5" s="276">
        <v>0.12</v>
      </c>
      <c r="E5" s="92"/>
      <c r="F5" s="92"/>
      <c r="G5" s="92"/>
    </row>
    <row r="6" spans="1:8">
      <c r="A6" s="92"/>
      <c r="B6" s="92"/>
      <c r="C6" s="92" t="s">
        <v>470</v>
      </c>
      <c r="D6" s="277">
        <v>7</v>
      </c>
      <c r="E6" s="92"/>
      <c r="F6" s="92"/>
      <c r="G6" s="92"/>
    </row>
    <row r="7" spans="1:8">
      <c r="A7" s="92"/>
      <c r="B7" s="92"/>
      <c r="C7" s="92" t="s">
        <v>471</v>
      </c>
      <c r="D7" s="277">
        <v>12</v>
      </c>
      <c r="E7" s="92"/>
      <c r="F7" s="92"/>
      <c r="G7" s="92"/>
    </row>
    <row r="8" spans="1:8">
      <c r="A8" s="92"/>
      <c r="B8" s="92"/>
      <c r="C8" s="92" t="s">
        <v>22</v>
      </c>
      <c r="D8" s="208">
        <f>PMT(D5/12,(D6-(D7/12))*12,-D4)</f>
        <v>191938.79100727625</v>
      </c>
      <c r="E8" s="208"/>
      <c r="F8" s="266"/>
      <c r="G8" s="92"/>
    </row>
    <row r="9" spans="1:8" ht="28.2">
      <c r="A9" s="146" t="s">
        <v>291</v>
      </c>
      <c r="B9" s="209" t="s">
        <v>18</v>
      </c>
      <c r="C9" s="210" t="s">
        <v>19</v>
      </c>
      <c r="D9" s="210" t="s">
        <v>20</v>
      </c>
      <c r="E9" s="405" t="s">
        <v>21</v>
      </c>
      <c r="F9" s="210" t="s">
        <v>22</v>
      </c>
      <c r="G9" s="405" t="s">
        <v>23</v>
      </c>
    </row>
    <row r="10" spans="1:8">
      <c r="A10" s="93" t="s">
        <v>11</v>
      </c>
      <c r="B10" s="93" t="s">
        <v>52</v>
      </c>
      <c r="C10" s="94">
        <f>D4</f>
        <v>9817744.2999999989</v>
      </c>
      <c r="D10" s="94">
        <f t="shared" ref="D10:D41" si="0">C10*$D$5/12</f>
        <v>98177.442999999985</v>
      </c>
      <c r="E10" s="94">
        <f t="shared" ref="E10:E15" si="1">F10-D10</f>
        <v>0</v>
      </c>
      <c r="F10" s="94">
        <f>D10</f>
        <v>98177.442999999985</v>
      </c>
      <c r="G10" s="94">
        <f>C10-E10</f>
        <v>9817744.2999999989</v>
      </c>
    </row>
    <row r="11" spans="1:8">
      <c r="A11" s="93"/>
      <c r="B11" s="93" t="s">
        <v>53</v>
      </c>
      <c r="C11" s="94">
        <f>G10</f>
        <v>9817744.2999999989</v>
      </c>
      <c r="D11" s="94">
        <f t="shared" si="0"/>
        <v>98177.442999999985</v>
      </c>
      <c r="E11" s="94">
        <f t="shared" si="1"/>
        <v>0</v>
      </c>
      <c r="F11" s="94">
        <f t="shared" ref="F11:F21" si="2">D11</f>
        <v>98177.442999999985</v>
      </c>
      <c r="G11" s="94">
        <f t="shared" ref="G11:G74" si="3">C11-E11</f>
        <v>9817744.2999999989</v>
      </c>
    </row>
    <row r="12" spans="1:8">
      <c r="A12" s="93"/>
      <c r="B12" s="93" t="s">
        <v>54</v>
      </c>
      <c r="C12" s="94">
        <f t="shared" ref="C12:C75" si="4">G11</f>
        <v>9817744.2999999989</v>
      </c>
      <c r="D12" s="94">
        <f t="shared" si="0"/>
        <v>98177.442999999985</v>
      </c>
      <c r="E12" s="94">
        <f t="shared" si="1"/>
        <v>0</v>
      </c>
      <c r="F12" s="94">
        <f t="shared" si="2"/>
        <v>98177.442999999985</v>
      </c>
      <c r="G12" s="94">
        <f t="shared" si="3"/>
        <v>9817744.2999999989</v>
      </c>
    </row>
    <row r="13" spans="1:8">
      <c r="A13" s="93"/>
      <c r="B13" s="93" t="s">
        <v>55</v>
      </c>
      <c r="C13" s="94">
        <f t="shared" si="4"/>
        <v>9817744.2999999989</v>
      </c>
      <c r="D13" s="94">
        <f t="shared" si="0"/>
        <v>98177.442999999985</v>
      </c>
      <c r="E13" s="94">
        <f t="shared" si="1"/>
        <v>0</v>
      </c>
      <c r="F13" s="94">
        <f t="shared" si="2"/>
        <v>98177.442999999985</v>
      </c>
      <c r="G13" s="94">
        <f t="shared" si="3"/>
        <v>9817744.2999999989</v>
      </c>
    </row>
    <row r="14" spans="1:8">
      <c r="A14" s="93"/>
      <c r="B14" s="93" t="s">
        <v>56</v>
      </c>
      <c r="C14" s="94">
        <f t="shared" si="4"/>
        <v>9817744.2999999989</v>
      </c>
      <c r="D14" s="94">
        <f t="shared" si="0"/>
        <v>98177.442999999985</v>
      </c>
      <c r="E14" s="94">
        <f t="shared" si="1"/>
        <v>0</v>
      </c>
      <c r="F14" s="94">
        <f t="shared" si="2"/>
        <v>98177.442999999985</v>
      </c>
      <c r="G14" s="94">
        <f t="shared" si="3"/>
        <v>9817744.2999999989</v>
      </c>
    </row>
    <row r="15" spans="1:8">
      <c r="A15" s="93"/>
      <c r="B15" s="93" t="s">
        <v>57</v>
      </c>
      <c r="C15" s="94">
        <f t="shared" si="4"/>
        <v>9817744.2999999989</v>
      </c>
      <c r="D15" s="94">
        <f t="shared" si="0"/>
        <v>98177.442999999985</v>
      </c>
      <c r="E15" s="94">
        <f t="shared" si="1"/>
        <v>0</v>
      </c>
      <c r="F15" s="94">
        <f t="shared" si="2"/>
        <v>98177.442999999985</v>
      </c>
      <c r="G15" s="94">
        <f t="shared" si="3"/>
        <v>9817744.2999999989</v>
      </c>
      <c r="H15">
        <v>9</v>
      </c>
    </row>
    <row r="16" spans="1:8">
      <c r="A16" s="93"/>
      <c r="B16" s="93" t="s">
        <v>58</v>
      </c>
      <c r="C16" s="94">
        <f t="shared" si="4"/>
        <v>9817744.2999999989</v>
      </c>
      <c r="D16" s="94">
        <f t="shared" si="0"/>
        <v>98177.442999999985</v>
      </c>
      <c r="E16" s="94">
        <v>0</v>
      </c>
      <c r="F16" s="94">
        <f t="shared" si="2"/>
        <v>98177.442999999985</v>
      </c>
      <c r="G16" s="94">
        <f t="shared" si="3"/>
        <v>9817744.2999999989</v>
      </c>
    </row>
    <row r="17" spans="1:10">
      <c r="A17" s="93"/>
      <c r="B17" s="93" t="s">
        <v>59</v>
      </c>
      <c r="C17" s="94">
        <f t="shared" si="4"/>
        <v>9817744.2999999989</v>
      </c>
      <c r="D17" s="94">
        <f t="shared" si="0"/>
        <v>98177.442999999985</v>
      </c>
      <c r="E17" s="94">
        <v>0</v>
      </c>
      <c r="F17" s="94">
        <f t="shared" si="2"/>
        <v>98177.442999999985</v>
      </c>
      <c r="G17" s="94">
        <f t="shared" si="3"/>
        <v>9817744.2999999989</v>
      </c>
    </row>
    <row r="18" spans="1:10">
      <c r="A18" s="93"/>
      <c r="B18" s="93" t="s">
        <v>60</v>
      </c>
      <c r="C18" s="94">
        <f t="shared" si="4"/>
        <v>9817744.2999999989</v>
      </c>
      <c r="D18" s="94">
        <f t="shared" si="0"/>
        <v>98177.442999999985</v>
      </c>
      <c r="E18" s="94">
        <v>0</v>
      </c>
      <c r="F18" s="94">
        <f t="shared" si="2"/>
        <v>98177.442999999985</v>
      </c>
      <c r="G18" s="94">
        <f t="shared" si="3"/>
        <v>9817744.2999999989</v>
      </c>
    </row>
    <row r="19" spans="1:10">
      <c r="A19" s="93"/>
      <c r="B19" s="93" t="s">
        <v>61</v>
      </c>
      <c r="C19" s="94">
        <f t="shared" si="4"/>
        <v>9817744.2999999989</v>
      </c>
      <c r="D19" s="94">
        <f t="shared" si="0"/>
        <v>98177.442999999985</v>
      </c>
      <c r="E19" s="94">
        <v>0</v>
      </c>
      <c r="F19" s="94">
        <f t="shared" si="2"/>
        <v>98177.442999999985</v>
      </c>
      <c r="G19" s="94">
        <f t="shared" si="3"/>
        <v>9817744.2999999989</v>
      </c>
    </row>
    <row r="20" spans="1:10">
      <c r="A20" s="93"/>
      <c r="B20" s="93" t="s">
        <v>62</v>
      </c>
      <c r="C20" s="94">
        <f t="shared" si="4"/>
        <v>9817744.2999999989</v>
      </c>
      <c r="D20" s="94">
        <f t="shared" si="0"/>
        <v>98177.442999999985</v>
      </c>
      <c r="E20" s="94">
        <v>0</v>
      </c>
      <c r="F20" s="94">
        <f t="shared" si="2"/>
        <v>98177.442999999985</v>
      </c>
      <c r="G20" s="94">
        <f t="shared" si="3"/>
        <v>9817744.2999999989</v>
      </c>
      <c r="H20" t="s">
        <v>735</v>
      </c>
      <c r="I20" t="s">
        <v>22</v>
      </c>
      <c r="J20" t="s">
        <v>736</v>
      </c>
    </row>
    <row r="21" spans="1:10">
      <c r="A21" s="93"/>
      <c r="B21" s="93" t="s">
        <v>63</v>
      </c>
      <c r="C21" s="94">
        <f t="shared" si="4"/>
        <v>9817744.2999999989</v>
      </c>
      <c r="D21" s="94">
        <f t="shared" si="0"/>
        <v>98177.442999999985</v>
      </c>
      <c r="E21" s="94">
        <v>0</v>
      </c>
      <c r="F21" s="94">
        <f t="shared" si="2"/>
        <v>98177.442999999985</v>
      </c>
      <c r="G21" s="94">
        <f>C21-E21</f>
        <v>9817744.2999999989</v>
      </c>
      <c r="H21" s="65">
        <f>SUM(E10:E21)</f>
        <v>0</v>
      </c>
      <c r="I21" s="399">
        <f>SUM(F10:F21)</f>
        <v>1178129.3159999999</v>
      </c>
      <c r="J21" s="65">
        <f>SUM(D10:D21)</f>
        <v>1178129.3159999999</v>
      </c>
    </row>
    <row r="22" spans="1:10">
      <c r="A22" s="93" t="s">
        <v>12</v>
      </c>
      <c r="B22" s="93" t="s">
        <v>64</v>
      </c>
      <c r="C22" s="94">
        <f t="shared" si="4"/>
        <v>9817744.2999999989</v>
      </c>
      <c r="D22" s="94">
        <f t="shared" si="0"/>
        <v>98177.442999999985</v>
      </c>
      <c r="E22" s="94">
        <f t="shared" ref="E22:E80" si="5">F22-D22</f>
        <v>93761.348007276261</v>
      </c>
      <c r="F22" s="94">
        <f t="shared" ref="F22:F74" si="6">$D$8</f>
        <v>191938.79100727625</v>
      </c>
      <c r="G22" s="94">
        <f t="shared" si="3"/>
        <v>9723982.9519927222</v>
      </c>
    </row>
    <row r="23" spans="1:10">
      <c r="A23" s="93"/>
      <c r="B23" s="93" t="s">
        <v>65</v>
      </c>
      <c r="C23" s="94">
        <f t="shared" si="4"/>
        <v>9723982.9519927222</v>
      </c>
      <c r="D23" s="94">
        <f t="shared" si="0"/>
        <v>97239.829519927211</v>
      </c>
      <c r="E23" s="94">
        <f t="shared" si="5"/>
        <v>94698.961487349035</v>
      </c>
      <c r="F23" s="94">
        <f t="shared" si="6"/>
        <v>191938.79100727625</v>
      </c>
      <c r="G23" s="94">
        <f t="shared" si="3"/>
        <v>9629283.9905053731</v>
      </c>
    </row>
    <row r="24" spans="1:10">
      <c r="A24" s="93"/>
      <c r="B24" s="93" t="s">
        <v>66</v>
      </c>
      <c r="C24" s="94">
        <f t="shared" si="4"/>
        <v>9629283.9905053731</v>
      </c>
      <c r="D24" s="94">
        <f t="shared" si="0"/>
        <v>96292.839905053726</v>
      </c>
      <c r="E24" s="94">
        <f t="shared" si="5"/>
        <v>95645.95110222252</v>
      </c>
      <c r="F24" s="94">
        <f t="shared" si="6"/>
        <v>191938.79100727625</v>
      </c>
      <c r="G24" s="94">
        <f t="shared" si="3"/>
        <v>9533638.0394031499</v>
      </c>
    </row>
    <row r="25" spans="1:10">
      <c r="A25" s="93"/>
      <c r="B25" s="93" t="s">
        <v>67</v>
      </c>
      <c r="C25" s="94">
        <f t="shared" si="4"/>
        <v>9533638.0394031499</v>
      </c>
      <c r="D25" s="94">
        <f t="shared" si="0"/>
        <v>95336.380394031483</v>
      </c>
      <c r="E25" s="94">
        <f t="shared" si="5"/>
        <v>96602.410613244763</v>
      </c>
      <c r="F25" s="94">
        <f t="shared" si="6"/>
        <v>191938.79100727625</v>
      </c>
      <c r="G25" s="94">
        <f t="shared" si="3"/>
        <v>9437035.6287899055</v>
      </c>
    </row>
    <row r="26" spans="1:10">
      <c r="A26" s="93"/>
      <c r="B26" s="93" t="s">
        <v>68</v>
      </c>
      <c r="C26" s="94">
        <f t="shared" si="4"/>
        <v>9437035.6287899055</v>
      </c>
      <c r="D26" s="94">
        <f t="shared" si="0"/>
        <v>94370.356287899063</v>
      </c>
      <c r="E26" s="94">
        <f t="shared" si="5"/>
        <v>97568.434719377183</v>
      </c>
      <c r="F26" s="94">
        <f t="shared" si="6"/>
        <v>191938.79100727625</v>
      </c>
      <c r="G26" s="94">
        <f t="shared" si="3"/>
        <v>9339467.1940705292</v>
      </c>
    </row>
    <row r="27" spans="1:10">
      <c r="A27" s="93"/>
      <c r="B27" s="93" t="s">
        <v>69</v>
      </c>
      <c r="C27" s="94">
        <f t="shared" si="4"/>
        <v>9339467.1940705292</v>
      </c>
      <c r="D27" s="94">
        <f t="shared" si="0"/>
        <v>93394.671940705288</v>
      </c>
      <c r="E27" s="94">
        <f t="shared" si="5"/>
        <v>98544.119066570958</v>
      </c>
      <c r="F27" s="94">
        <f t="shared" si="6"/>
        <v>191938.79100727625</v>
      </c>
      <c r="G27" s="94">
        <f t="shared" si="3"/>
        <v>9240923.0750039574</v>
      </c>
    </row>
    <row r="28" spans="1:10">
      <c r="A28" s="93"/>
      <c r="B28" s="93" t="s">
        <v>70</v>
      </c>
      <c r="C28" s="94">
        <f t="shared" si="4"/>
        <v>9240923.0750039574</v>
      </c>
      <c r="D28" s="94">
        <f t="shared" si="0"/>
        <v>92409.230750039569</v>
      </c>
      <c r="E28" s="94">
        <f t="shared" si="5"/>
        <v>99529.560257236677</v>
      </c>
      <c r="F28" s="94">
        <f t="shared" si="6"/>
        <v>191938.79100727625</v>
      </c>
      <c r="G28" s="94">
        <f t="shared" si="3"/>
        <v>9141393.51474672</v>
      </c>
    </row>
    <row r="29" spans="1:10">
      <c r="A29" s="93"/>
      <c r="B29" s="93" t="s">
        <v>71</v>
      </c>
      <c r="C29" s="94">
        <f t="shared" si="4"/>
        <v>9141393.51474672</v>
      </c>
      <c r="D29" s="94">
        <f t="shared" si="0"/>
        <v>91413.9351474672</v>
      </c>
      <c r="E29" s="94">
        <f t="shared" si="5"/>
        <v>100524.85585980905</v>
      </c>
      <c r="F29" s="94">
        <f t="shared" si="6"/>
        <v>191938.79100727625</v>
      </c>
      <c r="G29" s="94">
        <f t="shared" si="3"/>
        <v>9040868.6588869113</v>
      </c>
    </row>
    <row r="30" spans="1:10">
      <c r="A30" s="93"/>
      <c r="B30" s="93" t="s">
        <v>72</v>
      </c>
      <c r="C30" s="94">
        <f t="shared" si="4"/>
        <v>9040868.6588869113</v>
      </c>
      <c r="D30" s="94">
        <f t="shared" si="0"/>
        <v>90408.686588869125</v>
      </c>
      <c r="E30" s="94">
        <f t="shared" si="5"/>
        <v>101530.10441840712</v>
      </c>
      <c r="F30" s="94">
        <f t="shared" si="6"/>
        <v>191938.79100727625</v>
      </c>
      <c r="G30" s="94">
        <f t="shared" si="3"/>
        <v>8939338.5544685051</v>
      </c>
    </row>
    <row r="31" spans="1:10">
      <c r="A31" s="93"/>
      <c r="B31" s="93" t="s">
        <v>73</v>
      </c>
      <c r="C31" s="94">
        <f t="shared" si="4"/>
        <v>8939338.5544685051</v>
      </c>
      <c r="D31" s="94">
        <f t="shared" si="0"/>
        <v>89393.38554468505</v>
      </c>
      <c r="E31" s="94">
        <f t="shared" si="5"/>
        <v>102545.4054625912</v>
      </c>
      <c r="F31" s="94">
        <f t="shared" si="6"/>
        <v>191938.79100727625</v>
      </c>
      <c r="G31" s="94">
        <f t="shared" si="3"/>
        <v>8836793.1490059141</v>
      </c>
    </row>
    <row r="32" spans="1:10">
      <c r="A32" s="93"/>
      <c r="B32" s="93" t="s">
        <v>74</v>
      </c>
      <c r="C32" s="94">
        <f t="shared" si="4"/>
        <v>8836793.1490059141</v>
      </c>
      <c r="D32" s="94">
        <f t="shared" si="0"/>
        <v>88367.931490059142</v>
      </c>
      <c r="E32" s="94">
        <f t="shared" si="5"/>
        <v>103570.8595172171</v>
      </c>
      <c r="F32" s="94">
        <f t="shared" si="6"/>
        <v>191938.79100727625</v>
      </c>
      <c r="G32" s="94">
        <f t="shared" si="3"/>
        <v>8733222.2894886974</v>
      </c>
      <c r="H32" t="s">
        <v>735</v>
      </c>
      <c r="I32" t="s">
        <v>22</v>
      </c>
      <c r="J32" t="s">
        <v>736</v>
      </c>
    </row>
    <row r="33" spans="1:10">
      <c r="A33" s="93"/>
      <c r="B33" s="93" t="s">
        <v>75</v>
      </c>
      <c r="C33" s="94">
        <f t="shared" si="4"/>
        <v>8733222.2894886974</v>
      </c>
      <c r="D33" s="94">
        <f t="shared" si="0"/>
        <v>87332.222894886974</v>
      </c>
      <c r="E33" s="94">
        <f t="shared" si="5"/>
        <v>104606.56811238927</v>
      </c>
      <c r="F33" s="94">
        <f t="shared" si="6"/>
        <v>191938.79100727625</v>
      </c>
      <c r="G33" s="94">
        <f>C33-E33</f>
        <v>8628615.7213763073</v>
      </c>
      <c r="H33" s="65">
        <f>SUM(E22:E33)</f>
        <v>1189128.5786236911</v>
      </c>
      <c r="I33" s="399">
        <f>SUM(F22:F33)</f>
        <v>2303265.4920873144</v>
      </c>
      <c r="J33" s="65">
        <f>SUM(D22:D33)</f>
        <v>1114136.9134636237</v>
      </c>
    </row>
    <row r="34" spans="1:10">
      <c r="A34" s="93" t="s">
        <v>13</v>
      </c>
      <c r="B34" s="93" t="s">
        <v>76</v>
      </c>
      <c r="C34" s="94">
        <f t="shared" si="4"/>
        <v>8628615.7213763073</v>
      </c>
      <c r="D34" s="94">
        <f t="shared" si="0"/>
        <v>86286.157213763072</v>
      </c>
      <c r="E34" s="94">
        <f t="shared" si="5"/>
        <v>105652.63379351317</v>
      </c>
      <c r="F34" s="94">
        <f t="shared" si="6"/>
        <v>191938.79100727625</v>
      </c>
      <c r="G34" s="94">
        <f t="shared" si="3"/>
        <v>8522963.0875827949</v>
      </c>
    </row>
    <row r="35" spans="1:10">
      <c r="A35" s="93"/>
      <c r="B35" s="93" t="s">
        <v>77</v>
      </c>
      <c r="C35" s="94">
        <f t="shared" si="4"/>
        <v>8522963.0875827949</v>
      </c>
      <c r="D35" s="94">
        <f t="shared" si="0"/>
        <v>85229.630875827948</v>
      </c>
      <c r="E35" s="94">
        <f t="shared" si="5"/>
        <v>106709.1601314483</v>
      </c>
      <c r="F35" s="94">
        <f t="shared" si="6"/>
        <v>191938.79100727625</v>
      </c>
      <c r="G35" s="94">
        <f t="shared" si="3"/>
        <v>8416253.9274513461</v>
      </c>
    </row>
    <row r="36" spans="1:10">
      <c r="A36" s="93"/>
      <c r="B36" s="93" t="s">
        <v>78</v>
      </c>
      <c r="C36" s="94">
        <f t="shared" si="4"/>
        <v>8416253.9274513461</v>
      </c>
      <c r="D36" s="94">
        <f t="shared" si="0"/>
        <v>84162.53927451346</v>
      </c>
      <c r="E36" s="94">
        <f t="shared" si="5"/>
        <v>107776.25173276279</v>
      </c>
      <c r="F36" s="94">
        <f t="shared" si="6"/>
        <v>191938.79100727625</v>
      </c>
      <c r="G36" s="94">
        <f t="shared" si="3"/>
        <v>8308477.6757185832</v>
      </c>
    </row>
    <row r="37" spans="1:10">
      <c r="A37" s="93"/>
      <c r="B37" s="93" t="s">
        <v>79</v>
      </c>
      <c r="C37" s="94">
        <f t="shared" si="4"/>
        <v>8308477.6757185832</v>
      </c>
      <c r="D37" s="94">
        <f t="shared" si="0"/>
        <v>83084.776757185828</v>
      </c>
      <c r="E37" s="94">
        <f t="shared" si="5"/>
        <v>108854.01425009042</v>
      </c>
      <c r="F37" s="94">
        <f t="shared" si="6"/>
        <v>191938.79100727625</v>
      </c>
      <c r="G37" s="94">
        <f t="shared" si="3"/>
        <v>8199623.6614684928</v>
      </c>
    </row>
    <row r="38" spans="1:10">
      <c r="A38" s="93"/>
      <c r="B38" s="93" t="s">
        <v>80</v>
      </c>
      <c r="C38" s="94">
        <f t="shared" si="4"/>
        <v>8199623.6614684928</v>
      </c>
      <c r="D38" s="94">
        <f t="shared" si="0"/>
        <v>81996.236614684924</v>
      </c>
      <c r="E38" s="94">
        <f t="shared" si="5"/>
        <v>109942.55439259132</v>
      </c>
      <c r="F38" s="94">
        <f t="shared" si="6"/>
        <v>191938.79100727625</v>
      </c>
      <c r="G38" s="94">
        <f t="shared" si="3"/>
        <v>8089681.1070759017</v>
      </c>
    </row>
    <row r="39" spans="1:10">
      <c r="A39" s="93"/>
      <c r="B39" s="93" t="s">
        <v>81</v>
      </c>
      <c r="C39" s="94">
        <f t="shared" si="4"/>
        <v>8089681.1070759017</v>
      </c>
      <c r="D39" s="94">
        <f t="shared" si="0"/>
        <v>80896.811070759009</v>
      </c>
      <c r="E39" s="94">
        <f t="shared" si="5"/>
        <v>111041.97993651724</v>
      </c>
      <c r="F39" s="94">
        <f t="shared" si="6"/>
        <v>191938.79100727625</v>
      </c>
      <c r="G39" s="94">
        <f t="shared" si="3"/>
        <v>7978639.1271393849</v>
      </c>
    </row>
    <row r="40" spans="1:10">
      <c r="A40" s="93"/>
      <c r="B40" s="93" t="s">
        <v>82</v>
      </c>
      <c r="C40" s="94">
        <f t="shared" si="4"/>
        <v>7978639.1271393849</v>
      </c>
      <c r="D40" s="94">
        <f t="shared" si="0"/>
        <v>79786.391271393848</v>
      </c>
      <c r="E40" s="94">
        <f t="shared" si="5"/>
        <v>112152.3997358824</v>
      </c>
      <c r="F40" s="94">
        <f t="shared" si="6"/>
        <v>191938.79100727625</v>
      </c>
      <c r="G40" s="94">
        <f t="shared" si="3"/>
        <v>7866486.7274035029</v>
      </c>
    </row>
    <row r="41" spans="1:10">
      <c r="A41" s="93"/>
      <c r="B41" s="93" t="s">
        <v>83</v>
      </c>
      <c r="C41" s="94">
        <f t="shared" si="4"/>
        <v>7866486.7274035029</v>
      </c>
      <c r="D41" s="94">
        <f t="shared" si="0"/>
        <v>78664.86727403503</v>
      </c>
      <c r="E41" s="94">
        <f t="shared" si="5"/>
        <v>113273.92373324122</v>
      </c>
      <c r="F41" s="94">
        <f t="shared" si="6"/>
        <v>191938.79100727625</v>
      </c>
      <c r="G41" s="94">
        <f t="shared" si="3"/>
        <v>7753212.803670262</v>
      </c>
    </row>
    <row r="42" spans="1:10">
      <c r="A42" s="93"/>
      <c r="B42" s="93" t="s">
        <v>84</v>
      </c>
      <c r="C42" s="94">
        <f t="shared" si="4"/>
        <v>7753212.803670262</v>
      </c>
      <c r="D42" s="94">
        <f t="shared" ref="D42:D73" si="7">C42*$D$5/12</f>
        <v>77532.128036702619</v>
      </c>
      <c r="E42" s="94">
        <f t="shared" si="5"/>
        <v>114406.66297057363</v>
      </c>
      <c r="F42" s="94">
        <f t="shared" si="6"/>
        <v>191938.79100727625</v>
      </c>
      <c r="G42" s="94">
        <f t="shared" si="3"/>
        <v>7638806.1406996883</v>
      </c>
    </row>
    <row r="43" spans="1:10">
      <c r="A43" s="93"/>
      <c r="B43" s="93" t="s">
        <v>85</v>
      </c>
      <c r="C43" s="94">
        <f t="shared" si="4"/>
        <v>7638806.1406996883</v>
      </c>
      <c r="D43" s="94">
        <f t="shared" si="7"/>
        <v>76388.061406996872</v>
      </c>
      <c r="E43" s="94">
        <f t="shared" si="5"/>
        <v>115550.72960027937</v>
      </c>
      <c r="F43" s="94">
        <f t="shared" si="6"/>
        <v>191938.79100727625</v>
      </c>
      <c r="G43" s="94">
        <f t="shared" si="3"/>
        <v>7523255.4110994088</v>
      </c>
    </row>
    <row r="44" spans="1:10">
      <c r="A44" s="93"/>
      <c r="B44" s="93" t="s">
        <v>86</v>
      </c>
      <c r="C44" s="94">
        <f t="shared" si="4"/>
        <v>7523255.4110994088</v>
      </c>
      <c r="D44" s="94">
        <f t="shared" si="7"/>
        <v>75232.554110994082</v>
      </c>
      <c r="E44" s="94">
        <f t="shared" si="5"/>
        <v>116706.23689628216</v>
      </c>
      <c r="F44" s="94">
        <f t="shared" si="6"/>
        <v>191938.79100727625</v>
      </c>
      <c r="G44" s="94">
        <f t="shared" si="3"/>
        <v>7406549.1742031267</v>
      </c>
      <c r="H44" t="s">
        <v>735</v>
      </c>
      <c r="I44" t="s">
        <v>22</v>
      </c>
      <c r="J44" t="s">
        <v>736</v>
      </c>
    </row>
    <row r="45" spans="1:10">
      <c r="A45" s="93"/>
      <c r="B45" s="93" t="s">
        <v>87</v>
      </c>
      <c r="C45" s="94">
        <f t="shared" si="4"/>
        <v>7406549.1742031267</v>
      </c>
      <c r="D45" s="94">
        <f t="shared" si="7"/>
        <v>74065.491742031256</v>
      </c>
      <c r="E45" s="94">
        <f t="shared" si="5"/>
        <v>117873.29926524499</v>
      </c>
      <c r="F45" s="94">
        <f t="shared" si="6"/>
        <v>191938.79100727625</v>
      </c>
      <c r="G45" s="94">
        <f t="shared" si="3"/>
        <v>7288675.8749378817</v>
      </c>
      <c r="H45" s="65">
        <f>SUM(E34:E45)</f>
        <v>1339939.8464384268</v>
      </c>
      <c r="I45" s="399">
        <f>SUM(F34:F45)</f>
        <v>2303265.4920873144</v>
      </c>
      <c r="J45" s="65">
        <f>SUM(D34:D45)</f>
        <v>963325.64564888808</v>
      </c>
    </row>
    <row r="46" spans="1:10">
      <c r="A46" s="93" t="s">
        <v>14</v>
      </c>
      <c r="B46" s="93" t="s">
        <v>88</v>
      </c>
      <c r="C46" s="94">
        <f t="shared" si="4"/>
        <v>7288675.8749378817</v>
      </c>
      <c r="D46" s="94">
        <f t="shared" si="7"/>
        <v>72886.758749378816</v>
      </c>
      <c r="E46" s="94">
        <f t="shared" si="5"/>
        <v>119052.03225789743</v>
      </c>
      <c r="F46" s="94">
        <f t="shared" si="6"/>
        <v>191938.79100727625</v>
      </c>
      <c r="G46" s="94">
        <f t="shared" si="3"/>
        <v>7169623.8426799839</v>
      </c>
    </row>
    <row r="47" spans="1:10">
      <c r="A47" s="93"/>
      <c r="B47" s="93" t="s">
        <v>89</v>
      </c>
      <c r="C47" s="94">
        <f t="shared" si="4"/>
        <v>7169623.8426799839</v>
      </c>
      <c r="D47" s="94">
        <f t="shared" si="7"/>
        <v>71696.238426799842</v>
      </c>
      <c r="E47" s="94">
        <f t="shared" si="5"/>
        <v>120242.5525804764</v>
      </c>
      <c r="F47" s="94">
        <f t="shared" si="6"/>
        <v>191938.79100727625</v>
      </c>
      <c r="G47" s="94">
        <f t="shared" si="3"/>
        <v>7049381.2900995072</v>
      </c>
    </row>
    <row r="48" spans="1:10">
      <c r="A48" s="93"/>
      <c r="B48" s="93" t="s">
        <v>90</v>
      </c>
      <c r="C48" s="94">
        <f t="shared" si="4"/>
        <v>7049381.2900995072</v>
      </c>
      <c r="D48" s="94">
        <f t="shared" si="7"/>
        <v>70493.812900995064</v>
      </c>
      <c r="E48" s="94">
        <f t="shared" si="5"/>
        <v>121444.97810628118</v>
      </c>
      <c r="F48" s="94">
        <f t="shared" si="6"/>
        <v>191938.79100727625</v>
      </c>
      <c r="G48" s="94">
        <f t="shared" si="3"/>
        <v>6927936.3119932264</v>
      </c>
    </row>
    <row r="49" spans="1:10">
      <c r="A49" s="93"/>
      <c r="B49" s="93" t="s">
        <v>91</v>
      </c>
      <c r="C49" s="94">
        <f t="shared" si="4"/>
        <v>6927936.3119932264</v>
      </c>
      <c r="D49" s="94">
        <f t="shared" si="7"/>
        <v>69279.363119932255</v>
      </c>
      <c r="E49" s="94">
        <f t="shared" si="5"/>
        <v>122659.42788734399</v>
      </c>
      <c r="F49" s="94">
        <f t="shared" si="6"/>
        <v>191938.79100727625</v>
      </c>
      <c r="G49" s="94">
        <f t="shared" si="3"/>
        <v>6805276.8841058826</v>
      </c>
    </row>
    <row r="50" spans="1:10">
      <c r="A50" s="93"/>
      <c r="B50" s="93" t="s">
        <v>92</v>
      </c>
      <c r="C50" s="94">
        <f t="shared" si="4"/>
        <v>6805276.8841058826</v>
      </c>
      <c r="D50" s="94">
        <f t="shared" si="7"/>
        <v>68052.768841058816</v>
      </c>
      <c r="E50" s="94">
        <f t="shared" si="5"/>
        <v>123886.02216621743</v>
      </c>
      <c r="F50" s="94">
        <f t="shared" si="6"/>
        <v>191938.79100727625</v>
      </c>
      <c r="G50" s="94">
        <f t="shared" si="3"/>
        <v>6681390.8619396649</v>
      </c>
    </row>
    <row r="51" spans="1:10">
      <c r="A51" s="93"/>
      <c r="B51" s="93" t="s">
        <v>93</v>
      </c>
      <c r="C51" s="94">
        <f t="shared" si="4"/>
        <v>6681390.8619396649</v>
      </c>
      <c r="D51" s="94">
        <f t="shared" si="7"/>
        <v>66813.90861939665</v>
      </c>
      <c r="E51" s="94">
        <f t="shared" si="5"/>
        <v>125124.8823878796</v>
      </c>
      <c r="F51" s="94">
        <f t="shared" si="6"/>
        <v>191938.79100727625</v>
      </c>
      <c r="G51" s="94">
        <f t="shared" si="3"/>
        <v>6556265.9795517856</v>
      </c>
    </row>
    <row r="52" spans="1:10">
      <c r="A52" s="93"/>
      <c r="B52" s="93" t="s">
        <v>94</v>
      </c>
      <c r="C52" s="94">
        <f t="shared" si="4"/>
        <v>6556265.9795517856</v>
      </c>
      <c r="D52" s="94">
        <f t="shared" si="7"/>
        <v>65562.659795517859</v>
      </c>
      <c r="E52" s="94">
        <f t="shared" si="5"/>
        <v>126376.13121175839</v>
      </c>
      <c r="F52" s="94">
        <f t="shared" si="6"/>
        <v>191938.79100727625</v>
      </c>
      <c r="G52" s="94">
        <f t="shared" si="3"/>
        <v>6429889.848340027</v>
      </c>
    </row>
    <row r="53" spans="1:10">
      <c r="A53" s="93"/>
      <c r="B53" s="93" t="s">
        <v>95</v>
      </c>
      <c r="C53" s="94">
        <f t="shared" si="4"/>
        <v>6429889.848340027</v>
      </c>
      <c r="D53" s="94">
        <f t="shared" si="7"/>
        <v>64298.898483400269</v>
      </c>
      <c r="E53" s="94">
        <f t="shared" si="5"/>
        <v>127639.89252387598</v>
      </c>
      <c r="F53" s="94">
        <f t="shared" si="6"/>
        <v>191938.79100727625</v>
      </c>
      <c r="G53" s="94">
        <f t="shared" si="3"/>
        <v>6302249.9558161506</v>
      </c>
    </row>
    <row r="54" spans="1:10">
      <c r="A54" s="93"/>
      <c r="B54" s="93" t="s">
        <v>96</v>
      </c>
      <c r="C54" s="94">
        <f t="shared" si="4"/>
        <v>6302249.9558161506</v>
      </c>
      <c r="D54" s="94">
        <f t="shared" si="7"/>
        <v>63022.499558161508</v>
      </c>
      <c r="E54" s="94">
        <f t="shared" si="5"/>
        <v>128916.29144911474</v>
      </c>
      <c r="F54" s="94">
        <f t="shared" si="6"/>
        <v>191938.79100727625</v>
      </c>
      <c r="G54" s="94">
        <f t="shared" si="3"/>
        <v>6173333.664367036</v>
      </c>
    </row>
    <row r="55" spans="1:10">
      <c r="A55" s="93"/>
      <c r="B55" s="93" t="s">
        <v>97</v>
      </c>
      <c r="C55" s="94">
        <f t="shared" si="4"/>
        <v>6173333.664367036</v>
      </c>
      <c r="D55" s="94">
        <f t="shared" si="7"/>
        <v>61733.336643670358</v>
      </c>
      <c r="E55" s="94">
        <f t="shared" si="5"/>
        <v>130205.45436360588</v>
      </c>
      <c r="F55" s="94">
        <f t="shared" si="6"/>
        <v>191938.79100727625</v>
      </c>
      <c r="G55" s="94">
        <f t="shared" si="3"/>
        <v>6043128.21000343</v>
      </c>
    </row>
    <row r="56" spans="1:10">
      <c r="A56" s="93"/>
      <c r="B56" s="93" t="s">
        <v>98</v>
      </c>
      <c r="C56" s="94">
        <f t="shared" si="4"/>
        <v>6043128.21000343</v>
      </c>
      <c r="D56" s="94">
        <f t="shared" si="7"/>
        <v>60431.282100034296</v>
      </c>
      <c r="E56" s="94">
        <f t="shared" si="5"/>
        <v>131507.50890724195</v>
      </c>
      <c r="F56" s="94">
        <f t="shared" si="6"/>
        <v>191938.79100727625</v>
      </c>
      <c r="G56" s="94">
        <f t="shared" si="3"/>
        <v>5911620.7010961883</v>
      </c>
      <c r="H56" t="s">
        <v>735</v>
      </c>
      <c r="I56" t="s">
        <v>22</v>
      </c>
      <c r="J56" t="s">
        <v>736</v>
      </c>
    </row>
    <row r="57" spans="1:10">
      <c r="A57" s="93"/>
      <c r="B57" s="93" t="s">
        <v>99</v>
      </c>
      <c r="C57" s="94">
        <f t="shared" si="4"/>
        <v>5911620.7010961883</v>
      </c>
      <c r="D57" s="94">
        <f t="shared" si="7"/>
        <v>59116.207010961887</v>
      </c>
      <c r="E57" s="94">
        <f t="shared" si="5"/>
        <v>132822.58399631435</v>
      </c>
      <c r="F57" s="94">
        <f t="shared" si="6"/>
        <v>191938.79100727625</v>
      </c>
      <c r="G57" s="94">
        <f t="shared" si="3"/>
        <v>5778798.1170998737</v>
      </c>
      <c r="H57" s="65">
        <f>SUM(E46:E57)</f>
        <v>1509877.7578380073</v>
      </c>
      <c r="I57" s="399">
        <f>SUM(F46:F57)</f>
        <v>2303265.4920873144</v>
      </c>
      <c r="J57" s="65">
        <f>SUM(D46:D57)</f>
        <v>793387.73424930754</v>
      </c>
    </row>
    <row r="58" spans="1:10">
      <c r="A58" s="93" t="s">
        <v>15</v>
      </c>
      <c r="B58" s="93" t="s">
        <v>100</v>
      </c>
      <c r="C58" s="94">
        <f t="shared" si="4"/>
        <v>5778798.1170998737</v>
      </c>
      <c r="D58" s="94">
        <f t="shared" si="7"/>
        <v>57787.981170998733</v>
      </c>
      <c r="E58" s="94">
        <f t="shared" si="5"/>
        <v>134150.80983627751</v>
      </c>
      <c r="F58" s="94">
        <f t="shared" si="6"/>
        <v>191938.79100727625</v>
      </c>
      <c r="G58" s="94">
        <f t="shared" si="3"/>
        <v>5644647.307263596</v>
      </c>
    </row>
    <row r="59" spans="1:10">
      <c r="A59" s="93"/>
      <c r="B59" s="93" t="s">
        <v>101</v>
      </c>
      <c r="C59" s="94">
        <f t="shared" si="4"/>
        <v>5644647.307263596</v>
      </c>
      <c r="D59" s="94">
        <f t="shared" si="7"/>
        <v>56446.473072635963</v>
      </c>
      <c r="E59" s="94">
        <f t="shared" si="5"/>
        <v>135492.31793464028</v>
      </c>
      <c r="F59" s="94">
        <f t="shared" si="6"/>
        <v>191938.79100727625</v>
      </c>
      <c r="G59" s="94">
        <f t="shared" si="3"/>
        <v>5509154.9893289553</v>
      </c>
    </row>
    <row r="60" spans="1:10">
      <c r="A60" s="93"/>
      <c r="B60" s="93" t="s">
        <v>102</v>
      </c>
      <c r="C60" s="94">
        <f t="shared" si="4"/>
        <v>5509154.9893289553</v>
      </c>
      <c r="D60" s="94">
        <f t="shared" si="7"/>
        <v>55091.54989328955</v>
      </c>
      <c r="E60" s="94">
        <f t="shared" si="5"/>
        <v>136847.2411139867</v>
      </c>
      <c r="F60" s="94">
        <f t="shared" si="6"/>
        <v>191938.79100727625</v>
      </c>
      <c r="G60" s="94">
        <f t="shared" si="3"/>
        <v>5372307.7482149685</v>
      </c>
    </row>
    <row r="61" spans="1:10">
      <c r="A61" s="93"/>
      <c r="B61" s="93" t="s">
        <v>103</v>
      </c>
      <c r="C61" s="94">
        <f t="shared" si="4"/>
        <v>5372307.7482149685</v>
      </c>
      <c r="D61" s="94">
        <f t="shared" si="7"/>
        <v>53723.077482149682</v>
      </c>
      <c r="E61" s="94">
        <f t="shared" si="5"/>
        <v>138215.71352512657</v>
      </c>
      <c r="F61" s="94">
        <f t="shared" si="6"/>
        <v>191938.79100727625</v>
      </c>
      <c r="G61" s="94">
        <f t="shared" si="3"/>
        <v>5234092.0346898418</v>
      </c>
    </row>
    <row r="62" spans="1:10">
      <c r="A62" s="93"/>
      <c r="B62" s="93" t="s">
        <v>104</v>
      </c>
      <c r="C62" s="94">
        <f t="shared" si="4"/>
        <v>5234092.0346898418</v>
      </c>
      <c r="D62" s="94">
        <f t="shared" si="7"/>
        <v>52340.920346898412</v>
      </c>
      <c r="E62" s="94">
        <f t="shared" si="5"/>
        <v>139597.87066037784</v>
      </c>
      <c r="F62" s="94">
        <f t="shared" si="6"/>
        <v>191938.79100727625</v>
      </c>
      <c r="G62" s="94">
        <f t="shared" si="3"/>
        <v>5094494.1640294641</v>
      </c>
    </row>
    <row r="63" spans="1:10">
      <c r="A63" s="93"/>
      <c r="B63" s="93" t="s">
        <v>105</v>
      </c>
      <c r="C63" s="94">
        <f t="shared" si="4"/>
        <v>5094494.1640294641</v>
      </c>
      <c r="D63" s="94">
        <f t="shared" si="7"/>
        <v>50944.941640294644</v>
      </c>
      <c r="E63" s="94">
        <f t="shared" si="5"/>
        <v>140993.84936698159</v>
      </c>
      <c r="F63" s="94">
        <f t="shared" si="6"/>
        <v>191938.79100727625</v>
      </c>
      <c r="G63" s="94">
        <f t="shared" si="3"/>
        <v>4953500.3146624826</v>
      </c>
    </row>
    <row r="64" spans="1:10">
      <c r="A64" s="93"/>
      <c r="B64" s="93" t="s">
        <v>106</v>
      </c>
      <c r="C64" s="94">
        <f t="shared" si="4"/>
        <v>4953500.3146624826</v>
      </c>
      <c r="D64" s="94">
        <f t="shared" si="7"/>
        <v>49535.003146624826</v>
      </c>
      <c r="E64" s="94">
        <f t="shared" si="5"/>
        <v>142403.78786065141</v>
      </c>
      <c r="F64" s="94">
        <f t="shared" si="6"/>
        <v>191938.79100727625</v>
      </c>
      <c r="G64" s="94">
        <f t="shared" si="3"/>
        <v>4811096.5268018311</v>
      </c>
    </row>
    <row r="65" spans="1:10">
      <c r="A65" s="93"/>
      <c r="B65" s="93" t="s">
        <v>107</v>
      </c>
      <c r="C65" s="94">
        <f t="shared" si="4"/>
        <v>4811096.5268018311</v>
      </c>
      <c r="D65" s="94">
        <f t="shared" si="7"/>
        <v>48110.965268018306</v>
      </c>
      <c r="E65" s="94">
        <f t="shared" si="5"/>
        <v>143827.82573925794</v>
      </c>
      <c r="F65" s="94">
        <f t="shared" si="6"/>
        <v>191938.79100727625</v>
      </c>
      <c r="G65" s="94">
        <f t="shared" si="3"/>
        <v>4667268.7010625731</v>
      </c>
    </row>
    <row r="66" spans="1:10">
      <c r="A66" s="93"/>
      <c r="B66" s="93" t="s">
        <v>108</v>
      </c>
      <c r="C66" s="94">
        <f t="shared" si="4"/>
        <v>4667268.7010625731</v>
      </c>
      <c r="D66" s="94">
        <f t="shared" si="7"/>
        <v>46672.687010625727</v>
      </c>
      <c r="E66" s="94">
        <f t="shared" si="5"/>
        <v>145266.10399665052</v>
      </c>
      <c r="F66" s="94">
        <f t="shared" si="6"/>
        <v>191938.79100727625</v>
      </c>
      <c r="G66" s="94">
        <f t="shared" si="3"/>
        <v>4522002.5970659228</v>
      </c>
    </row>
    <row r="67" spans="1:10">
      <c r="A67" s="93"/>
      <c r="B67" s="93" t="s">
        <v>109</v>
      </c>
      <c r="C67" s="94">
        <f t="shared" si="4"/>
        <v>4522002.5970659228</v>
      </c>
      <c r="D67" s="94">
        <f t="shared" si="7"/>
        <v>45220.025970659226</v>
      </c>
      <c r="E67" s="94">
        <f t="shared" si="5"/>
        <v>146718.76503661703</v>
      </c>
      <c r="F67" s="94">
        <f t="shared" si="6"/>
        <v>191938.79100727625</v>
      </c>
      <c r="G67" s="94">
        <f t="shared" si="3"/>
        <v>4375283.8320293054</v>
      </c>
    </row>
    <row r="68" spans="1:10">
      <c r="A68" s="93"/>
      <c r="B68" s="93" t="s">
        <v>110</v>
      </c>
      <c r="C68" s="94">
        <f t="shared" si="4"/>
        <v>4375283.8320293054</v>
      </c>
      <c r="D68" s="94">
        <f t="shared" si="7"/>
        <v>43752.838320293056</v>
      </c>
      <c r="E68" s="94">
        <f t="shared" si="5"/>
        <v>148185.95268698319</v>
      </c>
      <c r="F68" s="94">
        <f t="shared" si="6"/>
        <v>191938.79100727625</v>
      </c>
      <c r="G68" s="94">
        <f t="shared" si="3"/>
        <v>4227097.8793423222</v>
      </c>
      <c r="H68" t="s">
        <v>735</v>
      </c>
      <c r="I68" t="s">
        <v>22</v>
      </c>
      <c r="J68" t="s">
        <v>736</v>
      </c>
    </row>
    <row r="69" spans="1:10">
      <c r="A69" s="93"/>
      <c r="B69" s="93" t="s">
        <v>111</v>
      </c>
      <c r="C69" s="94">
        <f t="shared" si="4"/>
        <v>4227097.8793423222</v>
      </c>
      <c r="D69" s="94">
        <f t="shared" si="7"/>
        <v>42270.978793423223</v>
      </c>
      <c r="E69" s="94">
        <f t="shared" si="5"/>
        <v>149667.81221385303</v>
      </c>
      <c r="F69" s="94">
        <f t="shared" si="6"/>
        <v>191938.79100727625</v>
      </c>
      <c r="G69" s="94">
        <f t="shared" si="3"/>
        <v>4077430.0671284692</v>
      </c>
      <c r="H69" s="65">
        <f>SUM(E58:E69)</f>
        <v>1701368.0499714033</v>
      </c>
      <c r="I69" s="399">
        <f>SUM(F58:F69)</f>
        <v>2303265.4920873144</v>
      </c>
      <c r="J69" s="65">
        <f>SUM(D58:D69)</f>
        <v>601897.4421159114</v>
      </c>
    </row>
    <row r="70" spans="1:10">
      <c r="A70" s="93" t="s">
        <v>16</v>
      </c>
      <c r="B70" s="93" t="s">
        <v>112</v>
      </c>
      <c r="C70" s="94">
        <f t="shared" si="4"/>
        <v>4077430.0671284692</v>
      </c>
      <c r="D70" s="94">
        <f t="shared" si="7"/>
        <v>40774.300671284691</v>
      </c>
      <c r="E70" s="94">
        <f t="shared" si="5"/>
        <v>151164.49033599155</v>
      </c>
      <c r="F70" s="94">
        <f t="shared" si="6"/>
        <v>191938.79100727625</v>
      </c>
      <c r="G70" s="94">
        <f t="shared" si="3"/>
        <v>3926265.5767924776</v>
      </c>
    </row>
    <row r="71" spans="1:10">
      <c r="A71" s="93"/>
      <c r="B71" s="93" t="s">
        <v>113</v>
      </c>
      <c r="C71" s="94">
        <f t="shared" si="4"/>
        <v>3926265.5767924776</v>
      </c>
      <c r="D71" s="94">
        <f t="shared" si="7"/>
        <v>39262.655767924771</v>
      </c>
      <c r="E71" s="94">
        <f t="shared" si="5"/>
        <v>152676.13523935148</v>
      </c>
      <c r="F71" s="94">
        <f t="shared" si="6"/>
        <v>191938.79100727625</v>
      </c>
      <c r="G71" s="94">
        <f t="shared" si="3"/>
        <v>3773589.4415531261</v>
      </c>
    </row>
    <row r="72" spans="1:10">
      <c r="A72" s="93"/>
      <c r="B72" s="93" t="s">
        <v>114</v>
      </c>
      <c r="C72" s="94">
        <f t="shared" si="4"/>
        <v>3773589.4415531261</v>
      </c>
      <c r="D72" s="94">
        <f t="shared" si="7"/>
        <v>37735.894415531257</v>
      </c>
      <c r="E72" s="94">
        <f t="shared" si="5"/>
        <v>154202.896591745</v>
      </c>
      <c r="F72" s="94">
        <f t="shared" si="6"/>
        <v>191938.79100727625</v>
      </c>
      <c r="G72" s="94">
        <f t="shared" si="3"/>
        <v>3619386.5449613812</v>
      </c>
    </row>
    <row r="73" spans="1:10">
      <c r="A73" s="93"/>
      <c r="B73" s="93" t="s">
        <v>115</v>
      </c>
      <c r="C73" s="94">
        <f t="shared" si="4"/>
        <v>3619386.5449613812</v>
      </c>
      <c r="D73" s="94">
        <f t="shared" si="7"/>
        <v>36193.865449613812</v>
      </c>
      <c r="E73" s="94">
        <f t="shared" si="5"/>
        <v>155744.92555766244</v>
      </c>
      <c r="F73" s="94">
        <f t="shared" si="6"/>
        <v>191938.79100727625</v>
      </c>
      <c r="G73" s="94">
        <f t="shared" si="3"/>
        <v>3463641.619403719</v>
      </c>
    </row>
    <row r="74" spans="1:10">
      <c r="A74" s="93"/>
      <c r="B74" s="93" t="s">
        <v>116</v>
      </c>
      <c r="C74" s="94">
        <f t="shared" si="4"/>
        <v>3463641.619403719</v>
      </c>
      <c r="D74" s="94">
        <f t="shared" ref="D74:D93" si="8">C74*$D$5/12</f>
        <v>34636.416194037192</v>
      </c>
      <c r="E74" s="94">
        <f t="shared" si="5"/>
        <v>157302.37481323906</v>
      </c>
      <c r="F74" s="94">
        <f t="shared" si="6"/>
        <v>191938.79100727625</v>
      </c>
      <c r="G74" s="94">
        <f t="shared" si="3"/>
        <v>3306339.2445904799</v>
      </c>
    </row>
    <row r="75" spans="1:10">
      <c r="A75" s="93"/>
      <c r="B75" s="93" t="s">
        <v>117</v>
      </c>
      <c r="C75" s="94">
        <f t="shared" si="4"/>
        <v>3306339.2445904799</v>
      </c>
      <c r="D75" s="94">
        <f t="shared" si="8"/>
        <v>33063.392445904799</v>
      </c>
      <c r="E75" s="94">
        <f t="shared" si="5"/>
        <v>158875.39856137143</v>
      </c>
      <c r="F75" s="94">
        <f t="shared" ref="F75:F93" si="9">$D$8</f>
        <v>191938.79100727625</v>
      </c>
      <c r="G75" s="94">
        <f t="shared" ref="G75:G93" si="10">C75-E75</f>
        <v>3147463.8460291084</v>
      </c>
    </row>
    <row r="76" spans="1:10">
      <c r="A76" s="93"/>
      <c r="B76" s="93" t="s">
        <v>118</v>
      </c>
      <c r="C76" s="94">
        <f t="shared" ref="C76:C93" si="11">G75</f>
        <v>3147463.8460291084</v>
      </c>
      <c r="D76" s="94">
        <f t="shared" si="8"/>
        <v>31474.638460291084</v>
      </c>
      <c r="E76" s="94">
        <f t="shared" si="5"/>
        <v>160464.15254698516</v>
      </c>
      <c r="F76" s="94">
        <f t="shared" si="9"/>
        <v>191938.79100727625</v>
      </c>
      <c r="G76" s="94">
        <f t="shared" si="10"/>
        <v>2986999.6934821233</v>
      </c>
    </row>
    <row r="77" spans="1:10">
      <c r="A77" s="93"/>
      <c r="B77" s="93" t="s">
        <v>119</v>
      </c>
      <c r="C77" s="94">
        <f t="shared" si="11"/>
        <v>2986999.6934821233</v>
      </c>
      <c r="D77" s="94">
        <f t="shared" si="8"/>
        <v>29869.996934821233</v>
      </c>
      <c r="E77" s="94">
        <f t="shared" si="5"/>
        <v>162068.79407245503</v>
      </c>
      <c r="F77" s="94">
        <f t="shared" si="9"/>
        <v>191938.79100727625</v>
      </c>
      <c r="G77" s="94">
        <f t="shared" si="10"/>
        <v>2824930.8994096685</v>
      </c>
    </row>
    <row r="78" spans="1:10">
      <c r="A78" s="93"/>
      <c r="B78" s="93" t="s">
        <v>120</v>
      </c>
      <c r="C78" s="94">
        <f t="shared" si="11"/>
        <v>2824930.8994096685</v>
      </c>
      <c r="D78" s="94">
        <f t="shared" si="8"/>
        <v>28249.308994096686</v>
      </c>
      <c r="E78" s="94">
        <f t="shared" si="5"/>
        <v>163689.48201317957</v>
      </c>
      <c r="F78" s="94">
        <f t="shared" si="9"/>
        <v>191938.79100727625</v>
      </c>
      <c r="G78" s="94">
        <f t="shared" si="10"/>
        <v>2661241.4173964891</v>
      </c>
    </row>
    <row r="79" spans="1:10">
      <c r="A79" s="93"/>
      <c r="B79" s="93" t="s">
        <v>121</v>
      </c>
      <c r="C79" s="94">
        <f t="shared" si="11"/>
        <v>2661241.4173964891</v>
      </c>
      <c r="D79" s="94">
        <f t="shared" si="8"/>
        <v>26612.414173964891</v>
      </c>
      <c r="E79" s="94">
        <f t="shared" si="5"/>
        <v>165326.37683331134</v>
      </c>
      <c r="F79" s="94">
        <f t="shared" si="9"/>
        <v>191938.79100727625</v>
      </c>
      <c r="G79" s="94">
        <f t="shared" si="10"/>
        <v>2495915.0405631778</v>
      </c>
    </row>
    <row r="80" spans="1:10">
      <c r="A80" s="93"/>
      <c r="B80" s="93" t="s">
        <v>122</v>
      </c>
      <c r="C80" s="94">
        <f t="shared" si="11"/>
        <v>2495915.0405631778</v>
      </c>
      <c r="D80" s="94">
        <f t="shared" si="8"/>
        <v>24959.150405631779</v>
      </c>
      <c r="E80" s="94">
        <f t="shared" si="5"/>
        <v>166979.64060164447</v>
      </c>
      <c r="F80" s="94">
        <f t="shared" si="9"/>
        <v>191938.79100727625</v>
      </c>
      <c r="G80" s="94">
        <f t="shared" si="10"/>
        <v>2328935.3999615335</v>
      </c>
      <c r="H80" t="s">
        <v>735</v>
      </c>
      <c r="I80" t="s">
        <v>22</v>
      </c>
      <c r="J80" t="s">
        <v>736</v>
      </c>
    </row>
    <row r="81" spans="1:10">
      <c r="A81" s="93"/>
      <c r="B81" s="93" t="s">
        <v>123</v>
      </c>
      <c r="C81" s="94">
        <f t="shared" si="11"/>
        <v>2328935.3999615335</v>
      </c>
      <c r="D81" s="94">
        <f t="shared" si="8"/>
        <v>23289.353999615338</v>
      </c>
      <c r="E81" s="94">
        <f t="shared" ref="E81:E93" si="12">F81-D81</f>
        <v>168649.43700766092</v>
      </c>
      <c r="F81" s="94">
        <f t="shared" si="9"/>
        <v>191938.79100727625</v>
      </c>
      <c r="G81" s="94">
        <f t="shared" si="10"/>
        <v>2160285.9629538725</v>
      </c>
      <c r="H81" s="65">
        <f>SUM(E70:E81)</f>
        <v>1917144.1041745974</v>
      </c>
      <c r="I81" s="399">
        <f>SUM(F70:F81)</f>
        <v>2303265.4920873144</v>
      </c>
      <c r="J81" s="65">
        <f>SUM(D70:D81)</f>
        <v>386121.38791271759</v>
      </c>
    </row>
    <row r="82" spans="1:10">
      <c r="A82" s="93" t="s">
        <v>280</v>
      </c>
      <c r="B82" s="93" t="s">
        <v>216</v>
      </c>
      <c r="C82" s="94">
        <f t="shared" si="11"/>
        <v>2160285.9629538725</v>
      </c>
      <c r="D82" s="94">
        <f t="shared" si="8"/>
        <v>21602.859629538725</v>
      </c>
      <c r="E82" s="94">
        <f t="shared" si="12"/>
        <v>170335.93137773752</v>
      </c>
      <c r="F82" s="94">
        <f t="shared" si="9"/>
        <v>191938.79100727625</v>
      </c>
      <c r="G82" s="94">
        <f t="shared" si="10"/>
        <v>1989950.031576135</v>
      </c>
    </row>
    <row r="83" spans="1:10">
      <c r="A83" s="93"/>
      <c r="B83" s="93" t="s">
        <v>217</v>
      </c>
      <c r="C83" s="94">
        <f t="shared" si="11"/>
        <v>1989950.031576135</v>
      </c>
      <c r="D83" s="94">
        <f t="shared" si="8"/>
        <v>19899.50031576135</v>
      </c>
      <c r="E83" s="94">
        <f t="shared" si="12"/>
        <v>172039.29069151491</v>
      </c>
      <c r="F83" s="94">
        <f t="shared" si="9"/>
        <v>191938.79100727625</v>
      </c>
      <c r="G83" s="94">
        <f t="shared" si="10"/>
        <v>1817910.74088462</v>
      </c>
    </row>
    <row r="84" spans="1:10">
      <c r="A84" s="93"/>
      <c r="B84" s="93" t="s">
        <v>218</v>
      </c>
      <c r="C84" s="94">
        <f t="shared" si="11"/>
        <v>1817910.74088462</v>
      </c>
      <c r="D84" s="94">
        <f t="shared" si="8"/>
        <v>18179.107408846201</v>
      </c>
      <c r="E84" s="94">
        <f t="shared" si="12"/>
        <v>173759.68359843004</v>
      </c>
      <c r="F84" s="94">
        <f t="shared" si="9"/>
        <v>191938.79100727625</v>
      </c>
      <c r="G84" s="94">
        <f t="shared" si="10"/>
        <v>1644151.0572861899</v>
      </c>
    </row>
    <row r="85" spans="1:10">
      <c r="A85" s="93"/>
      <c r="B85" s="93" t="s">
        <v>219</v>
      </c>
      <c r="C85" s="94">
        <f t="shared" si="11"/>
        <v>1644151.0572861899</v>
      </c>
      <c r="D85" s="94">
        <f t="shared" si="8"/>
        <v>16441.510572861898</v>
      </c>
      <c r="E85" s="94">
        <f t="shared" si="12"/>
        <v>175497.28043441434</v>
      </c>
      <c r="F85" s="94">
        <f t="shared" si="9"/>
        <v>191938.79100727625</v>
      </c>
      <c r="G85" s="94">
        <f t="shared" si="10"/>
        <v>1468653.7768517756</v>
      </c>
    </row>
    <row r="86" spans="1:10">
      <c r="A86" s="93"/>
      <c r="B86" s="93" t="s">
        <v>220</v>
      </c>
      <c r="C86" s="94">
        <f t="shared" si="11"/>
        <v>1468653.7768517756</v>
      </c>
      <c r="D86" s="94">
        <f t="shared" si="8"/>
        <v>14686.537768517754</v>
      </c>
      <c r="E86" s="94">
        <f t="shared" si="12"/>
        <v>177252.25323875848</v>
      </c>
      <c r="F86" s="94">
        <f t="shared" si="9"/>
        <v>191938.79100727625</v>
      </c>
      <c r="G86" s="94">
        <f t="shared" si="10"/>
        <v>1291401.5236130171</v>
      </c>
    </row>
    <row r="87" spans="1:10">
      <c r="A87" s="93"/>
      <c r="B87" s="93" t="s">
        <v>221</v>
      </c>
      <c r="C87" s="94">
        <f t="shared" si="11"/>
        <v>1291401.5236130171</v>
      </c>
      <c r="D87" s="94">
        <f t="shared" si="8"/>
        <v>12914.015236130172</v>
      </c>
      <c r="E87" s="94">
        <f t="shared" si="12"/>
        <v>179024.77577114609</v>
      </c>
      <c r="F87" s="94">
        <f t="shared" si="9"/>
        <v>191938.79100727625</v>
      </c>
      <c r="G87" s="94">
        <f t="shared" si="10"/>
        <v>1112376.7478418709</v>
      </c>
    </row>
    <row r="88" spans="1:10">
      <c r="A88" s="93"/>
      <c r="B88" s="93" t="s">
        <v>222</v>
      </c>
      <c r="C88" s="94">
        <f t="shared" si="11"/>
        <v>1112376.7478418709</v>
      </c>
      <c r="D88" s="94">
        <f t="shared" si="8"/>
        <v>11123.767478418709</v>
      </c>
      <c r="E88" s="94">
        <f t="shared" si="12"/>
        <v>180815.02352885753</v>
      </c>
      <c r="F88" s="94">
        <f t="shared" si="9"/>
        <v>191938.79100727625</v>
      </c>
      <c r="G88" s="94">
        <f t="shared" si="10"/>
        <v>931561.72431301337</v>
      </c>
    </row>
    <row r="89" spans="1:10">
      <c r="A89" s="93"/>
      <c r="B89" s="93" t="s">
        <v>223</v>
      </c>
      <c r="C89" s="94">
        <f t="shared" si="11"/>
        <v>931561.72431301337</v>
      </c>
      <c r="D89" s="94">
        <f t="shared" si="8"/>
        <v>9315.6172431301329</v>
      </c>
      <c r="E89" s="94">
        <f t="shared" si="12"/>
        <v>182623.17376414611</v>
      </c>
      <c r="F89" s="94">
        <f t="shared" si="9"/>
        <v>191938.79100727625</v>
      </c>
      <c r="G89" s="94">
        <f t="shared" si="10"/>
        <v>748938.55054886732</v>
      </c>
    </row>
    <row r="90" spans="1:10">
      <c r="A90" s="93"/>
      <c r="B90" s="93" t="s">
        <v>224</v>
      </c>
      <c r="C90" s="94">
        <f t="shared" si="11"/>
        <v>748938.55054886732</v>
      </c>
      <c r="D90" s="94">
        <f t="shared" si="8"/>
        <v>7489.3855054886735</v>
      </c>
      <c r="E90" s="94">
        <f t="shared" si="12"/>
        <v>184449.40550178758</v>
      </c>
      <c r="F90" s="94">
        <f t="shared" si="9"/>
        <v>191938.79100727625</v>
      </c>
      <c r="G90" s="94">
        <f t="shared" si="10"/>
        <v>564489.14504707977</v>
      </c>
    </row>
    <row r="91" spans="1:10">
      <c r="A91" s="93"/>
      <c r="B91" s="93" t="s">
        <v>225</v>
      </c>
      <c r="C91" s="94">
        <f t="shared" si="11"/>
        <v>564489.14504707977</v>
      </c>
      <c r="D91" s="94">
        <f t="shared" si="8"/>
        <v>5644.8914504707973</v>
      </c>
      <c r="E91" s="94">
        <f t="shared" si="12"/>
        <v>186293.89955680544</v>
      </c>
      <c r="F91" s="94">
        <f t="shared" si="9"/>
        <v>191938.79100727625</v>
      </c>
      <c r="G91" s="94">
        <f t="shared" si="10"/>
        <v>378195.24549027433</v>
      </c>
    </row>
    <row r="92" spans="1:10">
      <c r="A92" s="93"/>
      <c r="B92" s="93" t="s">
        <v>226</v>
      </c>
      <c r="C92" s="94">
        <f t="shared" si="11"/>
        <v>378195.24549027433</v>
      </c>
      <c r="D92" s="94">
        <f t="shared" si="8"/>
        <v>3781.9524549027433</v>
      </c>
      <c r="E92" s="94">
        <f t="shared" si="12"/>
        <v>188156.83855237349</v>
      </c>
      <c r="F92" s="94">
        <f t="shared" si="9"/>
        <v>191938.79100727625</v>
      </c>
      <c r="G92" s="94">
        <f t="shared" si="10"/>
        <v>190038.40693790084</v>
      </c>
      <c r="H92" t="s">
        <v>735</v>
      </c>
      <c r="I92" t="s">
        <v>22</v>
      </c>
      <c r="J92" t="s">
        <v>736</v>
      </c>
    </row>
    <row r="93" spans="1:10">
      <c r="A93" s="93"/>
      <c r="B93" s="93" t="s">
        <v>227</v>
      </c>
      <c r="C93" s="94">
        <f t="shared" si="11"/>
        <v>190038.40693790084</v>
      </c>
      <c r="D93" s="94">
        <f t="shared" si="8"/>
        <v>1900.3840693790082</v>
      </c>
      <c r="E93" s="94">
        <f t="shared" si="12"/>
        <v>190038.40693789723</v>
      </c>
      <c r="F93" s="94">
        <f t="shared" si="9"/>
        <v>191938.79100727625</v>
      </c>
      <c r="G93" s="94">
        <f t="shared" si="10"/>
        <v>3.6088749766349792E-9</v>
      </c>
      <c r="H93" s="65">
        <f>SUM(E82:E93)</f>
        <v>2160285.9629538688</v>
      </c>
      <c r="I93" s="399">
        <f>SUM(F82:F93)</f>
        <v>2303265.4920873144</v>
      </c>
      <c r="J93" s="65">
        <f>SUM(D82:D93)</f>
        <v>142979.52913344619</v>
      </c>
    </row>
    <row r="94" spans="1:10">
      <c r="A94" s="92"/>
      <c r="B94" s="92"/>
      <c r="C94" s="92"/>
      <c r="D94" s="101">
        <f>SUM(D10:D93)</f>
        <v>5179977.9685238982</v>
      </c>
      <c r="E94" s="101">
        <f>SUM(E10:E93)</f>
        <v>9817744.3000000007</v>
      </c>
      <c r="F94" s="92"/>
      <c r="G94" s="92"/>
    </row>
    <row r="95" spans="1:10" ht="39.9" customHeight="1">
      <c r="A95" s="445" t="s">
        <v>423</v>
      </c>
      <c r="B95" s="445"/>
      <c r="C95" s="445"/>
      <c r="D95" s="445"/>
      <c r="E95" s="445"/>
      <c r="F95" s="445"/>
      <c r="G95" s="445"/>
      <c r="H95" s="445"/>
    </row>
    <row r="96" spans="1:10">
      <c r="A96" t="s">
        <v>541</v>
      </c>
    </row>
    <row r="97" spans="1:2">
      <c r="A97">
        <v>1</v>
      </c>
      <c r="B97" t="s">
        <v>723</v>
      </c>
    </row>
    <row r="98" spans="1:2">
      <c r="A98">
        <v>2</v>
      </c>
      <c r="B98" t="s">
        <v>724</v>
      </c>
    </row>
    <row r="114" spans="2:2">
      <c r="B114" t="s">
        <v>695</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topLeftCell="A42" zoomScale="130" zoomScaleNormal="130" zoomScaleSheetLayoutView="80" workbookViewId="0">
      <selection activeCell="E61" sqref="E61:F61"/>
    </sheetView>
  </sheetViews>
  <sheetFormatPr defaultRowHeight="14.4"/>
  <cols>
    <col min="2" max="2" width="7.5546875" bestFit="1" customWidth="1"/>
    <col min="3" max="3" width="30.5546875" customWidth="1"/>
    <col min="4" max="4" width="16.88671875" bestFit="1" customWidth="1"/>
    <col min="5" max="5" width="14.33203125" bestFit="1" customWidth="1"/>
    <col min="6" max="6" width="16" bestFit="1" customWidth="1"/>
    <col min="7" max="7" width="20.44140625" bestFit="1" customWidth="1"/>
    <col min="8" max="8" width="23.109375" bestFit="1" customWidth="1"/>
    <col min="9" max="9" width="26.88671875" bestFit="1" customWidth="1"/>
    <col min="10" max="10" width="29.44140625" bestFit="1" customWidth="1"/>
    <col min="11" max="11" width="32.109375" bestFit="1" customWidth="1"/>
    <col min="14" max="14" width="24" hidden="1" customWidth="1"/>
    <col min="15" max="15" width="11.88671875" hidden="1" customWidth="1"/>
    <col min="16" max="16" width="9.5546875" hidden="1" customWidth="1"/>
    <col min="17" max="17" width="10.88671875" hidden="1" customWidth="1"/>
    <col min="18" max="18" width="11.33203125" hidden="1" customWidth="1"/>
    <col min="19" max="20" width="0" hidden="1" customWidth="1"/>
    <col min="21" max="21" width="24" hidden="1" customWidth="1"/>
    <col min="22" max="22" width="12.5546875" hidden="1" customWidth="1"/>
    <col min="23" max="23" width="0" hidden="1" customWidth="1"/>
  </cols>
  <sheetData>
    <row r="2" spans="3:22" ht="17.399999999999999">
      <c r="C2" s="428" t="s">
        <v>564</v>
      </c>
      <c r="D2" s="428"/>
      <c r="E2" s="428"/>
      <c r="F2" s="428"/>
      <c r="G2" s="428"/>
      <c r="H2" s="428"/>
      <c r="I2" s="428"/>
      <c r="J2" s="428"/>
      <c r="K2" s="428"/>
      <c r="L2" s="207"/>
    </row>
    <row r="4" spans="3:22">
      <c r="C4" s="80" t="s">
        <v>0</v>
      </c>
      <c r="D4" s="80"/>
      <c r="E4" s="81" t="s">
        <v>2</v>
      </c>
      <c r="F4" s="81" t="s">
        <v>3</v>
      </c>
      <c r="G4" s="81" t="s">
        <v>4</v>
      </c>
      <c r="H4" s="81" t="s">
        <v>5</v>
      </c>
      <c r="I4" s="81" t="s">
        <v>6</v>
      </c>
      <c r="J4" s="81" t="s">
        <v>170</v>
      </c>
      <c r="K4" s="81" t="s">
        <v>169</v>
      </c>
      <c r="L4" s="92"/>
      <c r="M4" s="92"/>
      <c r="N4" s="248"/>
      <c r="O4" s="248"/>
      <c r="P4" s="248"/>
      <c r="Q4" s="248"/>
      <c r="R4" s="248"/>
      <c r="S4" s="248"/>
      <c r="T4" s="248"/>
      <c r="U4" s="248"/>
      <c r="V4" s="248"/>
    </row>
    <row r="5" spans="3:22">
      <c r="C5" s="93" t="s">
        <v>370</v>
      </c>
      <c r="D5" s="93"/>
      <c r="E5" s="93"/>
      <c r="F5" s="93"/>
      <c r="G5" s="93"/>
      <c r="H5" s="93"/>
      <c r="I5" s="93"/>
      <c r="J5" s="93"/>
      <c r="K5" s="93"/>
      <c r="L5" s="92"/>
      <c r="M5" s="92"/>
      <c r="N5" s="447" t="s">
        <v>538</v>
      </c>
      <c r="O5" s="447"/>
      <c r="P5" s="447"/>
      <c r="Q5" s="447"/>
      <c r="R5" s="447"/>
      <c r="S5" s="248"/>
      <c r="T5" s="248"/>
      <c r="U5" s="447" t="s">
        <v>539</v>
      </c>
      <c r="V5" s="447"/>
    </row>
    <row r="6" spans="3:22">
      <c r="C6" s="93" t="s">
        <v>371</v>
      </c>
      <c r="D6" s="187"/>
      <c r="E6" s="93"/>
      <c r="F6" s="94">
        <f t="shared" ref="F6:K9" si="0">E15</f>
        <v>788493.4463999999</v>
      </c>
      <c r="G6" s="94">
        <f t="shared" si="0"/>
        <v>931407.8835600001</v>
      </c>
      <c r="H6" s="94">
        <f t="shared" si="0"/>
        <v>1086642.5308200005</v>
      </c>
      <c r="I6" s="94">
        <f t="shared" si="0"/>
        <v>1255072.1230971003</v>
      </c>
      <c r="J6" s="94">
        <f t="shared" si="0"/>
        <v>1437628.068274861</v>
      </c>
      <c r="K6" s="94">
        <f t="shared" si="0"/>
        <v>1635301.9276626538</v>
      </c>
      <c r="L6" s="92"/>
      <c r="M6" s="92"/>
      <c r="N6" s="446" t="s">
        <v>540</v>
      </c>
      <c r="O6" s="446"/>
      <c r="P6" s="446"/>
      <c r="Q6" s="446"/>
      <c r="R6" s="446"/>
      <c r="S6" s="248"/>
      <c r="T6" s="248"/>
      <c r="U6" s="446" t="s">
        <v>540</v>
      </c>
      <c r="V6" s="446"/>
    </row>
    <row r="7" spans="3:22">
      <c r="C7" s="93" t="s">
        <v>454</v>
      </c>
      <c r="D7" s="187"/>
      <c r="E7" s="93"/>
      <c r="F7" s="94">
        <f t="shared" si="0"/>
        <v>594459.05032320006</v>
      </c>
      <c r="G7" s="94">
        <f t="shared" si="0"/>
        <v>702272.43881928001</v>
      </c>
      <c r="H7" s="94">
        <f t="shared" si="0"/>
        <v>819267.30668915994</v>
      </c>
      <c r="I7" s="94">
        <f t="shared" si="0"/>
        <v>946325.37769147998</v>
      </c>
      <c r="J7" s="94">
        <f t="shared" si="0"/>
        <v>1083915.7202126838</v>
      </c>
      <c r="K7" s="94">
        <f t="shared" si="0"/>
        <v>1232899.2835417797</v>
      </c>
      <c r="L7" s="92"/>
      <c r="M7" s="92"/>
      <c r="N7" s="249" t="s">
        <v>0</v>
      </c>
      <c r="O7" s="249" t="s">
        <v>164</v>
      </c>
      <c r="P7" s="249" t="s">
        <v>165</v>
      </c>
      <c r="Q7" s="249" t="s">
        <v>317</v>
      </c>
      <c r="R7" s="249" t="s">
        <v>318</v>
      </c>
      <c r="S7" s="248"/>
      <c r="T7" s="248"/>
      <c r="U7" s="340" t="s">
        <v>0</v>
      </c>
      <c r="V7" s="340" t="s">
        <v>495</v>
      </c>
    </row>
    <row r="8" spans="3:22">
      <c r="C8" s="93" t="s">
        <v>554</v>
      </c>
      <c r="D8" s="187"/>
      <c r="E8" s="93"/>
      <c r="F8" s="94">
        <f t="shared" si="0"/>
        <v>0</v>
      </c>
      <c r="G8" s="94">
        <f t="shared" si="0"/>
        <v>0</v>
      </c>
      <c r="H8" s="94">
        <f t="shared" si="0"/>
        <v>0</v>
      </c>
      <c r="I8" s="94">
        <f t="shared" si="0"/>
        <v>0</v>
      </c>
      <c r="J8" s="94">
        <f t="shared" si="0"/>
        <v>0</v>
      </c>
      <c r="K8" s="94">
        <f t="shared" si="0"/>
        <v>0</v>
      </c>
      <c r="L8" s="92"/>
      <c r="M8" s="92"/>
      <c r="N8" s="250" t="s">
        <v>372</v>
      </c>
      <c r="O8" s="250">
        <f>'13.Facility 2 Grain Processing'!C152</f>
        <v>4800</v>
      </c>
      <c r="P8" s="250">
        <f>'13.Facility 2 Grain Processing'!C153</f>
        <v>5800</v>
      </c>
      <c r="Q8" s="250">
        <f>'13.Facility 2 Grain Processing'!C154</f>
        <v>5800</v>
      </c>
      <c r="R8" s="250">
        <f>'13.Facility 2 Grain Processing'!C155</f>
        <v>6200</v>
      </c>
      <c r="S8" s="248"/>
      <c r="T8" s="248"/>
      <c r="U8" s="250" t="s">
        <v>347</v>
      </c>
      <c r="V8" s="250">
        <f>'17.Facility 6 Horti Processing '!C163</f>
        <v>6000</v>
      </c>
    </row>
    <row r="9" spans="3:22">
      <c r="C9" s="93" t="str">
        <f>C18</f>
        <v xml:space="preserve">Horticulture Processing </v>
      </c>
      <c r="D9" s="93"/>
      <c r="E9" s="93"/>
      <c r="F9" s="94">
        <f>E18</f>
        <v>0</v>
      </c>
      <c r="G9" s="94">
        <f t="shared" si="0"/>
        <v>0</v>
      </c>
      <c r="H9" s="94">
        <f t="shared" si="0"/>
        <v>0</v>
      </c>
      <c r="I9" s="94">
        <f t="shared" si="0"/>
        <v>0</v>
      </c>
      <c r="J9" s="94">
        <f t="shared" si="0"/>
        <v>0</v>
      </c>
      <c r="K9" s="94">
        <f t="shared" si="0"/>
        <v>0</v>
      </c>
      <c r="L9" s="92"/>
      <c r="M9" s="92"/>
      <c r="N9" s="250" t="str">
        <f>'13.Facility 2 Grain Processing'!A156</f>
        <v>Oil (Liters)</v>
      </c>
      <c r="O9" s="250">
        <f>('13.Facility 2 Grain Processing'!B156*'13.Facility 2 Grain Processing'!C156/1000)*100</f>
        <v>20</v>
      </c>
      <c r="P9" s="250">
        <f>O9</f>
        <v>20</v>
      </c>
      <c r="Q9" s="250">
        <f t="shared" ref="Q9:R9" si="1">P9</f>
        <v>20</v>
      </c>
      <c r="R9" s="250">
        <f t="shared" si="1"/>
        <v>20</v>
      </c>
      <c r="S9" s="248"/>
      <c r="T9" s="248"/>
      <c r="U9" s="250" t="str">
        <f>'17.Facility 6 Horti Processing '!A164</f>
        <v>Other Consumbales</v>
      </c>
      <c r="V9" s="251">
        <f>'17.Facility 6 Horti Processing '!C164</f>
        <v>2000</v>
      </c>
    </row>
    <row r="10" spans="3:22">
      <c r="C10" s="93"/>
      <c r="D10" s="93"/>
      <c r="E10" s="93"/>
      <c r="F10" s="94"/>
      <c r="G10" s="94"/>
      <c r="H10" s="94"/>
      <c r="I10" s="94"/>
      <c r="J10" s="94"/>
      <c r="K10" s="94"/>
      <c r="L10" s="92"/>
      <c r="M10" s="92"/>
      <c r="N10" s="250" t="str">
        <f>'13.Facility 2 Grain Processing'!A157</f>
        <v xml:space="preserve">Daily Labour </v>
      </c>
      <c r="O10" s="252">
        <f>('13.Facility 2 Grain Processing'!B157*'13.Facility 2 Grain Processing'!C157)/('13.Facility 2 Grain Processing'!B5*'13.Facility 2 Grain Processing'!B6)</f>
        <v>900</v>
      </c>
      <c r="P10" s="252">
        <f>O10</f>
        <v>900</v>
      </c>
      <c r="Q10" s="252">
        <f t="shared" ref="Q10:R10" si="2">P10</f>
        <v>900</v>
      </c>
      <c r="R10" s="252">
        <f t="shared" si="2"/>
        <v>900</v>
      </c>
      <c r="S10" s="248"/>
      <c r="T10" s="248"/>
      <c r="U10" s="250" t="str">
        <f>'17.Facility 6 Horti Processing '!A165</f>
        <v xml:space="preserve">Daily Labour </v>
      </c>
      <c r="V10" s="251">
        <f>'17.Facility 6 Horti Processing '!B165*'17.Facility 6 Horti Processing '!C165/('17.Facility 6 Horti Processing '!B5*'17.Facility 6 Horti Processing '!B6)</f>
        <v>187.5</v>
      </c>
    </row>
    <row r="11" spans="3:22">
      <c r="C11" s="93"/>
      <c r="D11" s="93"/>
      <c r="E11" s="93"/>
      <c r="F11" s="94"/>
      <c r="G11" s="94"/>
      <c r="H11" s="94"/>
      <c r="I11" s="94"/>
      <c r="J11" s="94"/>
      <c r="K11" s="94"/>
      <c r="L11" s="92"/>
      <c r="M11" s="92"/>
      <c r="N11" s="250" t="str">
        <f>'13.Facility 2 Grain Processing'!A158</f>
        <v>Electricity Charges</v>
      </c>
      <c r="O11" s="252">
        <f>('13.Facility 2 Grain Processing'!B158*'13.Facility 2 Grain Processing'!C158)/('13.Facility 2 Grain Processing'!B5*'13.Facility 2 Grain Processing'!B6)</f>
        <v>0</v>
      </c>
      <c r="P11" s="252">
        <f>O11</f>
        <v>0</v>
      </c>
      <c r="Q11" s="252">
        <f t="shared" ref="Q11" si="3">P11</f>
        <v>0</v>
      </c>
      <c r="R11" s="252">
        <f t="shared" ref="R11" si="4">Q11</f>
        <v>0</v>
      </c>
      <c r="S11" s="248"/>
      <c r="T11" s="248"/>
      <c r="U11" s="250" t="str">
        <f>'17.Facility 6 Horti Processing '!A166</f>
        <v>Electricity Charges</v>
      </c>
      <c r="V11" s="250">
        <f>'17.Facility 6 Horti Processing '!B166*'17.Facility 6 Horti Processing '!C166/('17.Facility 6 Horti Processing '!B5*'17.Facility 6 Horti Processing '!B6)</f>
        <v>0</v>
      </c>
    </row>
    <row r="12" spans="3:22">
      <c r="C12" s="93" t="s">
        <v>1</v>
      </c>
      <c r="D12" s="93"/>
      <c r="E12" s="94"/>
      <c r="F12" s="94">
        <f t="shared" ref="F12:K12" si="5">SUM(F6:F11)</f>
        <v>1382952.4967232</v>
      </c>
      <c r="G12" s="94">
        <f t="shared" si="5"/>
        <v>1633680.3223792801</v>
      </c>
      <c r="H12" s="94">
        <f t="shared" si="5"/>
        <v>1905909.8375091604</v>
      </c>
      <c r="I12" s="94">
        <f t="shared" si="5"/>
        <v>2201397.5007885802</v>
      </c>
      <c r="J12" s="94">
        <f t="shared" si="5"/>
        <v>2521543.7884875447</v>
      </c>
      <c r="K12" s="94">
        <f t="shared" si="5"/>
        <v>2868201.2112044338</v>
      </c>
      <c r="L12" s="92"/>
      <c r="M12" s="92"/>
      <c r="N12" s="250" t="str">
        <f>'13.Facility 2 Grain Processing'!A159</f>
        <v>Loading/Unloading Charges</v>
      </c>
      <c r="O12" s="250">
        <f>'13.Facility 2 Grain Processing'!C159*2</f>
        <v>20</v>
      </c>
      <c r="P12" s="250">
        <f>O12</f>
        <v>20</v>
      </c>
      <c r="Q12" s="250">
        <f t="shared" ref="Q12:R13" si="6">P12</f>
        <v>20</v>
      </c>
      <c r="R12" s="250">
        <f t="shared" si="6"/>
        <v>20</v>
      </c>
      <c r="S12" s="248"/>
      <c r="T12" s="248"/>
      <c r="U12" s="250" t="str">
        <f>'17.Facility 6 Horti Processing '!A167</f>
        <v>Loading/Unloading Charges</v>
      </c>
      <c r="V12" s="250">
        <f>'17.Facility 6 Horti Processing '!C167</f>
        <v>10</v>
      </c>
    </row>
    <row r="13" spans="3:22">
      <c r="C13" s="93"/>
      <c r="D13" s="93"/>
      <c r="E13" s="93"/>
      <c r="F13" s="94"/>
      <c r="G13" s="94"/>
      <c r="H13" s="94"/>
      <c r="I13" s="94"/>
      <c r="J13" s="94"/>
      <c r="K13" s="94"/>
      <c r="L13" s="92"/>
      <c r="M13" s="92"/>
      <c r="N13" s="250" t="str">
        <f>'13.Facility 2 Grain Processing'!A160</f>
        <v>packaging Exp</v>
      </c>
      <c r="O13" s="250">
        <f>'13.Facility 2 Grain Processing'!C160*2</f>
        <v>40</v>
      </c>
      <c r="P13" s="250">
        <f>O13</f>
        <v>40</v>
      </c>
      <c r="Q13" s="250">
        <f t="shared" si="6"/>
        <v>40</v>
      </c>
      <c r="R13" s="250">
        <f t="shared" si="6"/>
        <v>40</v>
      </c>
      <c r="S13" s="248"/>
      <c r="T13" s="248"/>
      <c r="U13" s="250" t="str">
        <f>'17.Facility 6 Horti Processing '!A168</f>
        <v>packaging Exp</v>
      </c>
      <c r="V13" s="9">
        <f>'17.Facility 6 Horti Processing '!C168*100</f>
        <v>200</v>
      </c>
    </row>
    <row r="14" spans="3:22">
      <c r="C14" s="95" t="s">
        <v>349</v>
      </c>
      <c r="D14" s="93"/>
      <c r="E14" s="93"/>
      <c r="F14" s="94"/>
      <c r="G14" s="94"/>
      <c r="H14" s="94"/>
      <c r="I14" s="94"/>
      <c r="J14" s="94"/>
      <c r="K14" s="94"/>
      <c r="L14" s="92"/>
      <c r="M14" s="92"/>
      <c r="N14" s="250"/>
      <c r="O14" s="9"/>
      <c r="P14" s="9"/>
      <c r="Q14" s="9"/>
      <c r="R14" s="9"/>
      <c r="S14" s="248"/>
      <c r="T14" s="248"/>
      <c r="U14" s="9"/>
      <c r="V14" s="9"/>
    </row>
    <row r="15" spans="3:22">
      <c r="C15" s="93" t="str">
        <f>C6</f>
        <v>Agri Input</v>
      </c>
      <c r="D15" s="278">
        <v>0.01</v>
      </c>
      <c r="E15" s="94">
        <f>SUM('16.Facility 5 Agri Input'!D197:D252)*$D$15</f>
        <v>788493.4463999999</v>
      </c>
      <c r="F15" s="94">
        <f>SUM('16.Facility 5 Agri Input'!E197:E252)*$D$15</f>
        <v>931407.8835600001</v>
      </c>
      <c r="G15" s="94">
        <f>SUM('16.Facility 5 Agri Input'!F197:F252)*$D$15</f>
        <v>1086642.5308200005</v>
      </c>
      <c r="H15" s="94">
        <f>SUM('16.Facility 5 Agri Input'!G197:G252)*$D$15</f>
        <v>1255072.1230971003</v>
      </c>
      <c r="I15" s="94">
        <f>SUM('16.Facility 5 Agri Input'!H197:H252)*$D$15</f>
        <v>1437628.068274861</v>
      </c>
      <c r="J15" s="94">
        <f>SUM('16.Facility 5 Agri Input'!I197:I252)*$D$15</f>
        <v>1635301.9276626538</v>
      </c>
      <c r="K15" s="94">
        <f>SUM('16.Facility 5 Agri Input'!J197:J252)*$D$15</f>
        <v>1849149.1028185398</v>
      </c>
      <c r="L15" s="92"/>
      <c r="M15" s="92"/>
      <c r="N15" s="9"/>
      <c r="O15" s="9"/>
      <c r="P15" s="9"/>
      <c r="Q15" s="9"/>
      <c r="R15" s="9"/>
      <c r="U15" s="9"/>
      <c r="V15" s="9"/>
    </row>
    <row r="16" spans="3:22">
      <c r="C16" s="93" t="str">
        <f>C7</f>
        <v>Trading</v>
      </c>
      <c r="D16" s="278">
        <v>0.02</v>
      </c>
      <c r="E16" s="94">
        <f>SUM('12.Facility 1 - Trading'!D233:D284)*$D$16</f>
        <v>594459.05032320006</v>
      </c>
      <c r="F16" s="94">
        <f>SUM('12.Facility 1 - Trading'!E233:E284)*$D$16</f>
        <v>702272.43881928001</v>
      </c>
      <c r="G16" s="94">
        <f>SUM('12.Facility 1 - Trading'!F233:F284)*$D$16</f>
        <v>819267.30668915994</v>
      </c>
      <c r="H16" s="94">
        <f>SUM('12.Facility 1 - Trading'!G233:G284)*$D$16</f>
        <v>946325.37769147998</v>
      </c>
      <c r="I16" s="94">
        <f>SUM('12.Facility 1 - Trading'!H233:H284)*$D$16</f>
        <v>1083915.7202126838</v>
      </c>
      <c r="J16" s="94">
        <f>SUM('12.Facility 1 - Trading'!I233:I284)*$D$16</f>
        <v>1232899.2835417797</v>
      </c>
      <c r="K16" s="94">
        <f>SUM('12.Facility 1 - Trading'!J233:J284)*$D$16</f>
        <v>1394209.6313676273</v>
      </c>
      <c r="L16" s="92"/>
      <c r="M16" s="92"/>
      <c r="N16" s="249" t="s">
        <v>373</v>
      </c>
      <c r="O16" s="253">
        <f>SUM(O8:O13)</f>
        <v>5780</v>
      </c>
      <c r="P16" s="253">
        <f>SUM(P8:P13)</f>
        <v>6780</v>
      </c>
      <c r="Q16" s="253">
        <f>SUM(Q8:Q13)</f>
        <v>6780</v>
      </c>
      <c r="R16" s="253">
        <f>SUM(R8:R13)</f>
        <v>7180</v>
      </c>
      <c r="U16" s="249" t="s">
        <v>1</v>
      </c>
      <c r="V16" s="253">
        <f>SUM(V8:V15)</f>
        <v>8397.5</v>
      </c>
    </row>
    <row r="17" spans="1:18">
      <c r="C17" s="93" t="str">
        <f>C8</f>
        <v xml:space="preserve">Grain Processing </v>
      </c>
      <c r="D17" s="278">
        <v>0.05</v>
      </c>
      <c r="E17" s="94">
        <f>SUM('13.Facility 2 Grain Processing'!D152:D160)*$D$17</f>
        <v>0</v>
      </c>
      <c r="F17" s="94">
        <f>SUM('13.Facility 2 Grain Processing'!E152:E160)*$D$17</f>
        <v>0</v>
      </c>
      <c r="G17" s="94">
        <f>SUM('13.Facility 2 Grain Processing'!F152:F160)*$D$17</f>
        <v>0</v>
      </c>
      <c r="H17" s="94">
        <f>SUM('13.Facility 2 Grain Processing'!G152:G160)*$D$17</f>
        <v>0</v>
      </c>
      <c r="I17" s="94">
        <f>SUM('13.Facility 2 Grain Processing'!H152:H160)*$D$17</f>
        <v>0</v>
      </c>
      <c r="J17" s="94">
        <f>SUM('13.Facility 2 Grain Processing'!I152:I160)*$D$17</f>
        <v>0</v>
      </c>
      <c r="K17" s="94">
        <f>SUM('13.Facility 2 Grain Processing'!J152:J160)*$D$17</f>
        <v>0</v>
      </c>
      <c r="L17" s="92"/>
      <c r="M17" s="92"/>
    </row>
    <row r="18" spans="1:18">
      <c r="C18" s="93" t="s">
        <v>525</v>
      </c>
      <c r="D18" s="278">
        <v>0.05</v>
      </c>
      <c r="E18" s="94">
        <f>SUM('17.Facility 6 Horti Processing '!D163:D168)*$D$18</f>
        <v>0</v>
      </c>
      <c r="F18" s="94">
        <f>SUM('17.Facility 6 Horti Processing '!E163:E168)*$D$18</f>
        <v>0</v>
      </c>
      <c r="G18" s="94">
        <f>SUM('17.Facility 6 Horti Processing '!F163:F168)*$D$18</f>
        <v>0</v>
      </c>
      <c r="H18" s="94">
        <f>SUM('17.Facility 6 Horti Processing '!G163:G168)*$D$18</f>
        <v>0</v>
      </c>
      <c r="I18" s="94">
        <f>SUM('17.Facility 6 Horti Processing '!H163:H168)*$D$18</f>
        <v>0</v>
      </c>
      <c r="J18" s="94">
        <f>SUM('17.Facility 6 Horti Processing '!I163:I168)*$D$18</f>
        <v>0</v>
      </c>
      <c r="K18" s="94">
        <f>SUM('17.Facility 6 Horti Processing '!J163:J168)*$D$18</f>
        <v>0</v>
      </c>
      <c r="L18" s="92"/>
      <c r="M18" s="92"/>
    </row>
    <row r="19" spans="1:18">
      <c r="C19" s="93"/>
      <c r="D19" s="246"/>
      <c r="E19" s="94"/>
      <c r="F19" s="94"/>
      <c r="G19" s="94"/>
      <c r="H19" s="94"/>
      <c r="I19" s="94"/>
      <c r="J19" s="94"/>
      <c r="K19" s="94"/>
      <c r="L19" s="92"/>
      <c r="M19" s="92"/>
    </row>
    <row r="20" spans="1:18">
      <c r="C20" s="93"/>
      <c r="D20" s="93"/>
      <c r="E20" s="93"/>
      <c r="F20" s="94"/>
      <c r="G20" s="94"/>
      <c r="H20" s="94"/>
      <c r="I20" s="94"/>
      <c r="J20" s="94"/>
      <c r="K20" s="94"/>
      <c r="L20" s="92"/>
      <c r="M20" s="92"/>
    </row>
    <row r="21" spans="1:18">
      <c r="C21" s="93" t="s">
        <v>1</v>
      </c>
      <c r="D21" s="93"/>
      <c r="E21" s="200">
        <f t="shared" ref="E21:K21" si="7">SUM(E15:E20)</f>
        <v>1382952.4967232</v>
      </c>
      <c r="F21" s="94">
        <f t="shared" si="7"/>
        <v>1633680.3223792801</v>
      </c>
      <c r="G21" s="94">
        <f t="shared" si="7"/>
        <v>1905909.8375091604</v>
      </c>
      <c r="H21" s="94">
        <f t="shared" si="7"/>
        <v>2201397.5007885802</v>
      </c>
      <c r="I21" s="94">
        <f t="shared" si="7"/>
        <v>2521543.7884875447</v>
      </c>
      <c r="J21" s="94">
        <f t="shared" si="7"/>
        <v>2868201.2112044338</v>
      </c>
      <c r="K21" s="94">
        <f t="shared" si="7"/>
        <v>3243358.7341861669</v>
      </c>
      <c r="L21" s="92"/>
      <c r="M21" s="92"/>
    </row>
    <row r="22" spans="1:18">
      <c r="C22" s="92"/>
      <c r="D22" s="92"/>
      <c r="E22" s="92"/>
      <c r="F22" s="92"/>
      <c r="G22" s="92"/>
      <c r="H22" s="92"/>
      <c r="I22" s="92"/>
      <c r="J22" s="92"/>
      <c r="K22" s="92"/>
      <c r="L22" s="92"/>
      <c r="M22" s="92"/>
    </row>
    <row r="23" spans="1:18" ht="41.1" customHeight="1">
      <c r="A23" s="433" t="s">
        <v>424</v>
      </c>
      <c r="B23" s="433"/>
      <c r="C23" s="433"/>
      <c r="D23" s="433"/>
      <c r="E23" s="433"/>
      <c r="F23" s="433"/>
      <c r="G23" s="433"/>
      <c r="H23" s="433"/>
      <c r="I23" s="433"/>
      <c r="J23" s="433"/>
      <c r="K23" s="433"/>
      <c r="L23" s="339"/>
      <c r="M23" s="339"/>
      <c r="N23" s="339"/>
      <c r="O23" s="288"/>
      <c r="P23" s="288"/>
      <c r="Q23" s="288"/>
      <c r="R23" s="288"/>
    </row>
    <row r="24" spans="1:18">
      <c r="A24" t="s">
        <v>541</v>
      </c>
    </row>
    <row r="25" spans="1:18">
      <c r="A25">
        <v>1</v>
      </c>
      <c r="B25" t="s">
        <v>542</v>
      </c>
    </row>
    <row r="28" spans="1:18" ht="17.399999999999999">
      <c r="B28" s="428" t="s">
        <v>565</v>
      </c>
      <c r="C28" s="428"/>
      <c r="D28" s="428"/>
      <c r="E28" s="428"/>
      <c r="F28" s="428"/>
      <c r="G28" s="428"/>
      <c r="H28" s="428"/>
      <c r="I28" s="428"/>
      <c r="J28" s="428"/>
      <c r="K28" s="428"/>
    </row>
    <row r="30" spans="1:18">
      <c r="B30" s="450" t="s">
        <v>145</v>
      </c>
      <c r="C30" s="450" t="s">
        <v>0</v>
      </c>
      <c r="D30" s="453" t="s">
        <v>369</v>
      </c>
      <c r="E30" s="455" t="s">
        <v>159</v>
      </c>
      <c r="F30" s="456"/>
      <c r="G30" s="456"/>
      <c r="H30" s="456"/>
      <c r="I30" s="456"/>
      <c r="J30" s="456"/>
      <c r="K30" s="456"/>
    </row>
    <row r="31" spans="1:18">
      <c r="B31" s="450"/>
      <c r="C31" s="450"/>
      <c r="D31" s="454"/>
      <c r="E31" s="212" t="s">
        <v>2</v>
      </c>
      <c r="F31" s="212" t="s">
        <v>3</v>
      </c>
      <c r="G31" s="212" t="s">
        <v>4</v>
      </c>
      <c r="H31" s="212" t="s">
        <v>5</v>
      </c>
      <c r="I31" s="212" t="s">
        <v>6</v>
      </c>
      <c r="J31" s="212" t="s">
        <v>170</v>
      </c>
      <c r="K31" s="212" t="s">
        <v>169</v>
      </c>
    </row>
    <row r="32" spans="1:18">
      <c r="B32" s="215"/>
      <c r="C32" s="216"/>
      <c r="D32" s="216"/>
      <c r="E32" s="217"/>
      <c r="F32" s="217"/>
      <c r="G32" s="217"/>
      <c r="H32" s="217"/>
      <c r="I32" s="217"/>
      <c r="J32" s="217"/>
      <c r="K32" s="217"/>
    </row>
    <row r="33" spans="2:11">
      <c r="B33" s="218" t="s">
        <v>174</v>
      </c>
      <c r="C33" s="219" t="s">
        <v>350</v>
      </c>
      <c r="D33" s="233"/>
      <c r="E33" s="220"/>
      <c r="F33" s="220"/>
      <c r="G33" s="220"/>
      <c r="H33" s="220"/>
      <c r="I33" s="220"/>
      <c r="J33" s="220"/>
      <c r="K33" s="220"/>
    </row>
    <row r="34" spans="2:11">
      <c r="B34" s="274">
        <v>1</v>
      </c>
      <c r="C34" s="221" t="s">
        <v>371</v>
      </c>
      <c r="D34" s="233">
        <v>14</v>
      </c>
      <c r="E34" s="220">
        <f>('16.Facility 5 Agri Input'!D191/365)*$D$34</f>
        <v>3072413.8854049314</v>
      </c>
      <c r="F34" s="220">
        <f>('16.Facility 5 Agri Input'!E191/365)*$D$34</f>
        <v>3661313.7230511778</v>
      </c>
      <c r="G34" s="220">
        <f>('16.Facility 5 Agri Input'!F191/365)*$D$34</f>
        <v>4271999.7055314099</v>
      </c>
      <c r="H34" s="220">
        <f>('16.Facility 5 Agri Input'!G191/365)*$D$34</f>
        <v>4934601.0019520344</v>
      </c>
      <c r="I34" s="220">
        <f>('16.Facility 5 Agri Input'!H191/365)*$D$34</f>
        <v>5652782.4287508959</v>
      </c>
      <c r="J34" s="220">
        <f>('16.Facility 5 Agri Input'!I191/365)*$D$34</f>
        <v>6430445.4957247609</v>
      </c>
      <c r="K34" s="220">
        <f>('16.Facility 5 Agri Input'!J191/365)*$D$34</f>
        <v>7271742.9133241372</v>
      </c>
    </row>
    <row r="35" spans="2:11">
      <c r="B35" s="274">
        <v>2</v>
      </c>
      <c r="C35" s="221" t="s">
        <v>366</v>
      </c>
      <c r="D35" s="233">
        <v>14</v>
      </c>
      <c r="E35" s="220">
        <f>('15. Facility 4 Custom Hiring'!E39/365)*$D$35</f>
        <v>118443.83561643836</v>
      </c>
      <c r="F35" s="220">
        <f>('15. Facility 4 Custom Hiring'!F39/365)*$D$35</f>
        <v>124366.02739726027</v>
      </c>
      <c r="G35" s="220">
        <f>('15. Facility 4 Custom Hiring'!G39/365)*$D$35</f>
        <v>130584.3287671233</v>
      </c>
      <c r="H35" s="220">
        <f>('15. Facility 4 Custom Hiring'!H39/365)*$D$35</f>
        <v>137113.54520547946</v>
      </c>
      <c r="I35" s="220">
        <f>('15. Facility 4 Custom Hiring'!I39/365)*$D$35</f>
        <v>143969.22246575344</v>
      </c>
      <c r="J35" s="220">
        <f>('15. Facility 4 Custom Hiring'!J39/365)*$D$35</f>
        <v>151167.68358904112</v>
      </c>
      <c r="K35" s="220">
        <f>('15. Facility 4 Custom Hiring'!K39/365)*$D$35</f>
        <v>158726.0677684932</v>
      </c>
    </row>
    <row r="36" spans="2:11">
      <c r="B36" s="274">
        <v>3</v>
      </c>
      <c r="C36" s="221" t="s">
        <v>367</v>
      </c>
      <c r="D36" s="233">
        <v>14</v>
      </c>
      <c r="E36" s="220">
        <f>('12.Facility 1 - Trading'!D229/365)*$D$36</f>
        <v>1165597.6967813261</v>
      </c>
      <c r="F36" s="220">
        <f>('12.Facility 1 - Trading'!E229/365)*$D$36</f>
        <v>1401614.3927486858</v>
      </c>
      <c r="G36" s="220">
        <f>('12.Facility 1 - Trading'!F229/365)*$D$36</f>
        <v>1635577.7598609258</v>
      </c>
      <c r="H36" s="220">
        <f>('12.Facility 1 - Trading'!G229/365)*$D$36</f>
        <v>1889433.4277025177</v>
      </c>
      <c r="I36" s="220">
        <f>('12.Facility 1 - Trading'!H229/365)*$D$36</f>
        <v>2164585.7179286173</v>
      </c>
      <c r="J36" s="220">
        <f>('12.Facility 1 - Trading'!I229/365)*$D$36</f>
        <v>2462529.6536080707</v>
      </c>
      <c r="K36" s="220">
        <f>('12.Facility 1 - Trading'!J229/365)*$D$36</f>
        <v>2784856.518560647</v>
      </c>
    </row>
    <row r="37" spans="2:11">
      <c r="B37" s="274">
        <v>4</v>
      </c>
      <c r="C37" s="221" t="s">
        <v>140</v>
      </c>
      <c r="D37" s="233">
        <v>14</v>
      </c>
      <c r="E37" s="220">
        <f>('13.Facility 2 Grain Processing'!D148/365)*$D$37</f>
        <v>0</v>
      </c>
      <c r="F37" s="220">
        <f>('13.Facility 2 Grain Processing'!E148/365)*$D$37</f>
        <v>0</v>
      </c>
      <c r="G37" s="220">
        <f>('13.Facility 2 Grain Processing'!F148/365)*$D$37</f>
        <v>0</v>
      </c>
      <c r="H37" s="220">
        <f>('13.Facility 2 Grain Processing'!G148/365)*$D$37</f>
        <v>0</v>
      </c>
      <c r="I37" s="220">
        <f>('13.Facility 2 Grain Processing'!H148/365)*$D$37</f>
        <v>0</v>
      </c>
      <c r="J37" s="220">
        <f>('13.Facility 2 Grain Processing'!I148/365)*$D$37</f>
        <v>0</v>
      </c>
      <c r="K37" s="220">
        <f>('13.Facility 2 Grain Processing'!J148/365)*$D$37</f>
        <v>0</v>
      </c>
    </row>
    <row r="38" spans="2:11">
      <c r="B38" s="274">
        <v>5</v>
      </c>
      <c r="C38" s="221" t="s">
        <v>301</v>
      </c>
      <c r="D38" s="233">
        <v>14</v>
      </c>
      <c r="E38" s="220">
        <f>('14. Facility 3 Warehouse'!D24/365)*$D$38</f>
        <v>72493.150684931505</v>
      </c>
      <c r="F38" s="220">
        <f>('14. Facility 3 Warehouse'!E24/365)*$D$38</f>
        <v>81554.794520547934</v>
      </c>
      <c r="G38" s="220">
        <f>('14. Facility 3 Warehouse'!F24/365)*$D$38</f>
        <v>91341.369863013693</v>
      </c>
      <c r="H38" s="220">
        <f>('14. Facility 3 Warehouse'!G24/365)*$D$38</f>
        <v>101902.71575342469</v>
      </c>
      <c r="I38" s="220">
        <f>('14. Facility 3 Warehouse'!H24/365)*$D$38</f>
        <v>113291.84280821921</v>
      </c>
      <c r="J38" s="220">
        <f>('14. Facility 3 Warehouse'!I24/365)*$D$38</f>
        <v>118956.43494863019</v>
      </c>
      <c r="K38" s="220">
        <f>('14. Facility 3 Warehouse'!J24/365)*$D$38</f>
        <v>124904.2566960617</v>
      </c>
    </row>
    <row r="39" spans="2:11">
      <c r="B39" s="274">
        <v>6</v>
      </c>
      <c r="C39" s="221" t="s">
        <v>537</v>
      </c>
      <c r="D39" s="233">
        <v>14</v>
      </c>
      <c r="E39" s="220">
        <f>('17.Facility 6 Horti Processing '!D159/365)*$D$39</f>
        <v>0</v>
      </c>
      <c r="F39" s="220">
        <f>('17.Facility 6 Horti Processing '!E159/365)*$D$39</f>
        <v>0</v>
      </c>
      <c r="G39" s="220">
        <f>('17.Facility 6 Horti Processing '!F159/365)*$D$39</f>
        <v>0</v>
      </c>
      <c r="H39" s="220">
        <f>('17.Facility 6 Horti Processing '!G159/365)*$D$39</f>
        <v>0</v>
      </c>
      <c r="I39" s="220">
        <f>('17.Facility 6 Horti Processing '!H159/365)*$D$39</f>
        <v>0</v>
      </c>
      <c r="J39" s="220">
        <f>('17.Facility 6 Horti Processing '!I159/365)*$D$39</f>
        <v>0</v>
      </c>
      <c r="K39" s="220">
        <f>('17.Facility 6 Horti Processing '!J159/365)*$D$39</f>
        <v>0</v>
      </c>
    </row>
    <row r="40" spans="2:11">
      <c r="B40" s="274"/>
      <c r="C40" s="221"/>
      <c r="D40" s="233"/>
      <c r="E40" s="220"/>
      <c r="F40" s="220"/>
      <c r="G40" s="220"/>
      <c r="H40" s="220"/>
      <c r="I40" s="220"/>
      <c r="J40" s="220"/>
      <c r="K40" s="220"/>
    </row>
    <row r="41" spans="2:11">
      <c r="B41" s="260"/>
      <c r="C41" s="219" t="s">
        <v>172</v>
      </c>
      <c r="D41" s="233"/>
      <c r="E41" s="220">
        <f>SUM(E34:E40)</f>
        <v>4428948.5684876265</v>
      </c>
      <c r="F41" s="220">
        <f t="shared" ref="F41:K41" si="8">SUM(F34:F40)</f>
        <v>5268848.9377176715</v>
      </c>
      <c r="G41" s="220">
        <f t="shared" si="8"/>
        <v>6129503.1640224727</v>
      </c>
      <c r="H41" s="220">
        <f t="shared" si="8"/>
        <v>7063050.6906134561</v>
      </c>
      <c r="I41" s="220">
        <f t="shared" si="8"/>
        <v>8074629.2119534863</v>
      </c>
      <c r="J41" s="220">
        <f t="shared" si="8"/>
        <v>9163099.2678705044</v>
      </c>
      <c r="K41" s="220">
        <f t="shared" si="8"/>
        <v>10340229.756349338</v>
      </c>
    </row>
    <row r="42" spans="2:11">
      <c r="B42" s="218" t="s">
        <v>175</v>
      </c>
      <c r="C42" s="219" t="s">
        <v>349</v>
      </c>
      <c r="D42" s="233"/>
      <c r="E42" s="220">
        <f>'5.Closing Stock &amp; W Capital'!E21</f>
        <v>1382952.4967232</v>
      </c>
      <c r="F42" s="220">
        <f>'5.Closing Stock &amp; W Capital'!F21</f>
        <v>1633680.3223792801</v>
      </c>
      <c r="G42" s="220">
        <f>'5.Closing Stock &amp; W Capital'!G21</f>
        <v>1905909.8375091604</v>
      </c>
      <c r="H42" s="220">
        <f>'5.Closing Stock &amp; W Capital'!H21</f>
        <v>2201397.5007885802</v>
      </c>
      <c r="I42" s="220">
        <f>'5.Closing Stock &amp; W Capital'!I21</f>
        <v>2521543.7884875447</v>
      </c>
      <c r="J42" s="220">
        <f>'5.Closing Stock &amp; W Capital'!J21</f>
        <v>2868201.2112044338</v>
      </c>
      <c r="K42" s="220">
        <f>'5.Closing Stock &amp; W Capital'!K21</f>
        <v>3243358.7341861669</v>
      </c>
    </row>
    <row r="43" spans="2:11">
      <c r="B43" s="218"/>
      <c r="C43" s="221"/>
      <c r="D43" s="233"/>
      <c r="E43" s="220"/>
      <c r="F43" s="220"/>
      <c r="G43" s="220"/>
      <c r="H43" s="220"/>
      <c r="I43" s="220"/>
      <c r="J43" s="220"/>
      <c r="K43" s="220"/>
    </row>
    <row r="44" spans="2:11">
      <c r="B44" s="451" t="s">
        <v>1</v>
      </c>
      <c r="C44" s="452"/>
      <c r="D44" s="245"/>
      <c r="E44" s="222">
        <f>SUM(E41:E42)</f>
        <v>5811901.0652108267</v>
      </c>
      <c r="F44" s="222">
        <f t="shared" ref="F44:K44" si="9">SUM(F41:F42)</f>
        <v>6902529.2600969514</v>
      </c>
      <c r="G44" s="222">
        <f t="shared" si="9"/>
        <v>8035413.0015316326</v>
      </c>
      <c r="H44" s="222">
        <f t="shared" si="9"/>
        <v>9264448.1914020367</v>
      </c>
      <c r="I44" s="222">
        <f t="shared" si="9"/>
        <v>10596173.000441032</v>
      </c>
      <c r="J44" s="222">
        <f t="shared" si="9"/>
        <v>12031300.479074938</v>
      </c>
      <c r="K44" s="222">
        <f t="shared" si="9"/>
        <v>13583588.490535505</v>
      </c>
    </row>
    <row r="45" spans="2:11">
      <c r="B45" s="218"/>
      <c r="C45" s="219"/>
      <c r="D45" s="233"/>
      <c r="E45" s="220"/>
      <c r="F45" s="220"/>
      <c r="G45" s="220"/>
      <c r="H45" s="220"/>
      <c r="I45" s="220"/>
      <c r="J45" s="220"/>
      <c r="K45" s="220"/>
    </row>
    <row r="46" spans="2:11" ht="34.5" customHeight="1">
      <c r="B46" s="218" t="s">
        <v>176</v>
      </c>
      <c r="C46" s="221" t="s">
        <v>351</v>
      </c>
      <c r="D46" s="233"/>
      <c r="E46" s="220"/>
      <c r="F46" s="220"/>
      <c r="G46" s="220"/>
      <c r="H46" s="220"/>
      <c r="I46" s="220"/>
      <c r="J46" s="220"/>
      <c r="K46" s="220"/>
    </row>
    <row r="47" spans="2:11">
      <c r="B47" s="274">
        <v>1</v>
      </c>
      <c r="C47" s="221" t="str">
        <f t="shared" ref="C47:C52" si="10">C34</f>
        <v>Agri Input</v>
      </c>
      <c r="D47" s="233">
        <v>5</v>
      </c>
      <c r="E47" s="220">
        <f>('16.Facility 5 Agri Input'!D262/365)*$D$47</f>
        <v>1091961.8508624656</v>
      </c>
      <c r="F47" s="220">
        <f>('16.Facility 5 Agri Input'!E262/365)*$D$47</f>
        <v>1300681.2164189592</v>
      </c>
      <c r="G47" s="220">
        <f>('16.Facility 5 Agri Input'!F262/365)*$D$47</f>
        <v>1517618.9378233976</v>
      </c>
      <c r="H47" s="220">
        <f>('16.Facility 5 Agri Input'!G262/365)*$D$47</f>
        <v>1752998.7283272322</v>
      </c>
      <c r="I47" s="220">
        <f>('16.Facility 5 Agri Input'!H262/365)*$D$47</f>
        <v>2008122.4505368932</v>
      </c>
      <c r="J47" s="220">
        <f>('16.Facility 5 Agri Input'!I262/365)*$D$47</f>
        <v>2284376.0481467005</v>
      </c>
      <c r="K47" s="220">
        <f>('16.Facility 5 Agri Input'!J262/365)*$D$47</f>
        <v>2583234.6993911471</v>
      </c>
    </row>
    <row r="48" spans="2:11">
      <c r="B48" s="274">
        <v>2</v>
      </c>
      <c r="C48" s="221" t="str">
        <f t="shared" si="10"/>
        <v>Custom Hiring</v>
      </c>
      <c r="D48" s="233">
        <v>7</v>
      </c>
      <c r="E48" s="220">
        <f>('15. Facility 4 Custom Hiring'!E49/365)*$D$49</f>
        <v>23646.575342465756</v>
      </c>
      <c r="F48" s="220">
        <f>('15. Facility 4 Custom Hiring'!F49/365)*$D$49</f>
        <v>24828.904109589042</v>
      </c>
      <c r="G48" s="220">
        <f>('15. Facility 4 Custom Hiring'!G49/365)*$D$49</f>
        <v>26070.349315068495</v>
      </c>
      <c r="H48" s="220">
        <f>('15. Facility 4 Custom Hiring'!H49/365)*$D$49</f>
        <v>27373.866780821922</v>
      </c>
      <c r="I48" s="220">
        <f>('15. Facility 4 Custom Hiring'!I49/365)*$D$49</f>
        <v>28742.560119863021</v>
      </c>
      <c r="J48" s="220">
        <f>('15. Facility 4 Custom Hiring'!J49/365)*$D$49</f>
        <v>30179.688125856173</v>
      </c>
      <c r="K48" s="220">
        <f>('15. Facility 4 Custom Hiring'!K49/365)*$D$49</f>
        <v>31688.672532148976</v>
      </c>
    </row>
    <row r="49" spans="1:12">
      <c r="B49" s="274">
        <v>3</v>
      </c>
      <c r="C49" s="221" t="str">
        <f t="shared" si="10"/>
        <v>Cleaning &amp; Grading</v>
      </c>
      <c r="D49" s="233">
        <v>7</v>
      </c>
      <c r="E49" s="220">
        <f>('12.Facility 1 - Trading'!D292/365)*$D$49</f>
        <v>563773.18623139069</v>
      </c>
      <c r="F49" s="220">
        <f>('12.Facility 1 - Trading'!E292/365)*$D$49</f>
        <v>677421.2667060697</v>
      </c>
      <c r="G49" s="220">
        <f>('12.Facility 1 - Trading'!F292/365)*$D$49</f>
        <v>790444.87532410084</v>
      </c>
      <c r="H49" s="220">
        <f>('12.Facility 1 - Trading'!G292/365)*$D$49</f>
        <v>913187.31174628681</v>
      </c>
      <c r="I49" s="220">
        <f>('12.Facility 1 - Trading'!H292/365)*$D$49</f>
        <v>1046112.3585078084</v>
      </c>
      <c r="J49" s="220">
        <f>('12.Facility 1 - Trading'!I292/365)*$D$49</f>
        <v>1190044.5373614528</v>
      </c>
      <c r="K49" s="220">
        <f>('12.Facility 1 - Trading'!J292/365)*$D$49</f>
        <v>1345884.539752905</v>
      </c>
    </row>
    <row r="50" spans="1:12">
      <c r="B50" s="274">
        <v>4</v>
      </c>
      <c r="C50" s="221" t="str">
        <f t="shared" si="10"/>
        <v>Dal Mill</v>
      </c>
      <c r="D50" s="233">
        <v>7</v>
      </c>
      <c r="E50" s="220">
        <f>('13.Facility 2 Grain Processing'!D169/365)*$D$50</f>
        <v>0</v>
      </c>
      <c r="F50" s="220">
        <f>('13.Facility 2 Grain Processing'!E169/365)*$D$50</f>
        <v>0</v>
      </c>
      <c r="G50" s="220">
        <f>('13.Facility 2 Grain Processing'!F169/365)*$D$50</f>
        <v>0</v>
      </c>
      <c r="H50" s="220">
        <f>('13.Facility 2 Grain Processing'!G169/365)*$D$50</f>
        <v>0</v>
      </c>
      <c r="I50" s="220">
        <f>('13.Facility 2 Grain Processing'!H169/365)*$D$50</f>
        <v>0</v>
      </c>
      <c r="J50" s="220">
        <f>('13.Facility 2 Grain Processing'!I169/365)*$D$50</f>
        <v>0</v>
      </c>
      <c r="K50" s="220">
        <f>('13.Facility 2 Grain Processing'!J169/365)*$D$50</f>
        <v>0</v>
      </c>
    </row>
    <row r="51" spans="1:12">
      <c r="B51" s="274">
        <v>5</v>
      </c>
      <c r="C51" s="221" t="str">
        <f t="shared" si="10"/>
        <v>Warehouse</v>
      </c>
      <c r="D51" s="233">
        <v>7</v>
      </c>
      <c r="E51" s="220">
        <f>('14. Facility 3 Warehouse'!D35/365)*$D$51</f>
        <v>5500.2739726027394</v>
      </c>
      <c r="F51" s="220">
        <f>('14. Facility 3 Warehouse'!E35/365)*$D$51</f>
        <v>5775.2876712328762</v>
      </c>
      <c r="G51" s="220">
        <f>('14. Facility 3 Warehouse'!F35/365)*$D$51</f>
        <v>6064.0520547945207</v>
      </c>
      <c r="H51" s="220">
        <f>('14. Facility 3 Warehouse'!G35/365)*$D$51</f>
        <v>6367.2546575342476</v>
      </c>
      <c r="I51" s="220">
        <f>('14. Facility 3 Warehouse'!H35/365)*$D$51</f>
        <v>6685.6173904109601</v>
      </c>
      <c r="J51" s="220">
        <f>('14. Facility 3 Warehouse'!I35/365)*$D$51</f>
        <v>7019.8982599315095</v>
      </c>
      <c r="K51" s="220">
        <f>('14. Facility 3 Warehouse'!J35/365)*$D$51</f>
        <v>7370.8931729280848</v>
      </c>
    </row>
    <row r="52" spans="1:12">
      <c r="B52" s="274"/>
      <c r="C52" s="221" t="str">
        <f t="shared" si="10"/>
        <v>Processing Unit - Horti Commodity</v>
      </c>
      <c r="D52" s="233">
        <v>7</v>
      </c>
      <c r="E52" s="220">
        <f>('17.Facility 6 Horti Processing '!D177/365)*$D$52</f>
        <v>0</v>
      </c>
      <c r="F52" s="220">
        <f>('17.Facility 6 Horti Processing '!E177/365)*$D$52</f>
        <v>0</v>
      </c>
      <c r="G52" s="220">
        <f>('17.Facility 6 Horti Processing '!F177/365)*$D$52</f>
        <v>0</v>
      </c>
      <c r="H52" s="220">
        <f>('17.Facility 6 Horti Processing '!G177/365)*$D$52</f>
        <v>0</v>
      </c>
      <c r="I52" s="220">
        <f>('17.Facility 6 Horti Processing '!H177/365)*$D$52</f>
        <v>0</v>
      </c>
      <c r="J52" s="220">
        <f>('17.Facility 6 Horti Processing '!I177/365)*$D$52</f>
        <v>0</v>
      </c>
      <c r="K52" s="220">
        <f>('17.Facility 6 Horti Processing '!J177/365)*$D$52</f>
        <v>0</v>
      </c>
    </row>
    <row r="53" spans="1:12">
      <c r="B53" s="274"/>
      <c r="C53" s="221"/>
      <c r="D53" s="233"/>
      <c r="E53" s="220"/>
      <c r="F53" s="220"/>
      <c r="G53" s="220"/>
      <c r="H53" s="220"/>
      <c r="I53" s="220"/>
      <c r="J53" s="220"/>
      <c r="K53" s="220"/>
    </row>
    <row r="54" spans="1:12">
      <c r="B54" s="213"/>
      <c r="C54" s="219" t="s">
        <v>1</v>
      </c>
      <c r="D54" s="233"/>
      <c r="E54" s="222">
        <f>SUM(E47:E53)</f>
        <v>1684881.8864089248</v>
      </c>
      <c r="F54" s="222">
        <f t="shared" ref="F54:K54" si="11">SUM(F47:F53)</f>
        <v>2008706.6749058508</v>
      </c>
      <c r="G54" s="222">
        <f t="shared" si="11"/>
        <v>2340198.2145173615</v>
      </c>
      <c r="H54" s="222">
        <f t="shared" si="11"/>
        <v>2699927.1615118752</v>
      </c>
      <c r="I54" s="222">
        <f t="shared" si="11"/>
        <v>3089662.9865549756</v>
      </c>
      <c r="J54" s="222">
        <f t="shared" si="11"/>
        <v>3511620.1718939412</v>
      </c>
      <c r="K54" s="222">
        <f t="shared" si="11"/>
        <v>3968178.8048491292</v>
      </c>
    </row>
    <row r="55" spans="1:12">
      <c r="B55" s="218" t="s">
        <v>177</v>
      </c>
      <c r="C55" s="219" t="s">
        <v>157</v>
      </c>
      <c r="D55" s="233"/>
      <c r="E55" s="222">
        <f>E44-E54</f>
        <v>4127019.1788019016</v>
      </c>
      <c r="F55" s="222">
        <f t="shared" ref="F55:K55" si="12">F44-F54</f>
        <v>4893822.5851911008</v>
      </c>
      <c r="G55" s="222">
        <f t="shared" si="12"/>
        <v>5695214.7870142711</v>
      </c>
      <c r="H55" s="222">
        <f t="shared" si="12"/>
        <v>6564521.029890161</v>
      </c>
      <c r="I55" s="222">
        <f t="shared" si="12"/>
        <v>7506510.0138860559</v>
      </c>
      <c r="J55" s="222">
        <f t="shared" si="12"/>
        <v>8519680.307180997</v>
      </c>
      <c r="K55" s="222">
        <f t="shared" si="12"/>
        <v>9615409.6856863759</v>
      </c>
    </row>
    <row r="56" spans="1:12">
      <c r="B56" s="218"/>
      <c r="C56" s="219" t="s">
        <v>134</v>
      </c>
      <c r="D56" s="283">
        <v>0.25</v>
      </c>
      <c r="E56" s="222">
        <f>E55*$D$56</f>
        <v>1031754.7947004754</v>
      </c>
      <c r="F56" s="222"/>
      <c r="G56" s="222"/>
      <c r="H56" s="222"/>
      <c r="I56" s="222"/>
      <c r="J56" s="222"/>
      <c r="K56" s="222"/>
    </row>
    <row r="57" spans="1:12">
      <c r="E57" s="65">
        <f>E55-E56</f>
        <v>3095264.3841014262</v>
      </c>
      <c r="F57" s="65">
        <f t="shared" ref="F57:K57" si="13">F55-F56</f>
        <v>4893822.5851911008</v>
      </c>
      <c r="G57" s="65">
        <f t="shared" si="13"/>
        <v>5695214.7870142711</v>
      </c>
      <c r="H57" s="65">
        <f t="shared" si="13"/>
        <v>6564521.029890161</v>
      </c>
      <c r="I57" s="65">
        <f t="shared" si="13"/>
        <v>7506510.0138860559</v>
      </c>
      <c r="J57" s="65">
        <f t="shared" si="13"/>
        <v>8519680.307180997</v>
      </c>
      <c r="K57" s="65">
        <f t="shared" si="13"/>
        <v>9615409.6856863759</v>
      </c>
    </row>
    <row r="58" spans="1:12">
      <c r="E58" s="28"/>
    </row>
    <row r="59" spans="1:12" ht="36.9" customHeight="1">
      <c r="A59" s="448" t="s">
        <v>420</v>
      </c>
      <c r="B59" s="449"/>
      <c r="C59" s="449"/>
      <c r="D59" s="449"/>
      <c r="E59" s="449"/>
      <c r="F59" s="449"/>
      <c r="G59" s="449"/>
      <c r="H59" s="449"/>
      <c r="I59" s="449"/>
      <c r="J59" s="449"/>
      <c r="K59" s="449"/>
      <c r="L59" s="449"/>
    </row>
    <row r="60" spans="1:12">
      <c r="A60" t="s">
        <v>543</v>
      </c>
    </row>
    <row r="61" spans="1:12">
      <c r="A61">
        <v>1</v>
      </c>
      <c r="B61" t="s">
        <v>544</v>
      </c>
      <c r="F61" s="65"/>
    </row>
    <row r="62" spans="1:12">
      <c r="A62">
        <v>2</v>
      </c>
      <c r="B62" t="s">
        <v>545</v>
      </c>
    </row>
    <row r="63" spans="1:12">
      <c r="A63">
        <v>3</v>
      </c>
      <c r="B63" t="s">
        <v>546</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35"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62"/>
  <sheetViews>
    <sheetView topLeftCell="A85" zoomScaleSheetLayoutView="80" workbookViewId="0">
      <selection activeCell="B42" sqref="B42"/>
    </sheetView>
  </sheetViews>
  <sheetFormatPr defaultRowHeight="14.4"/>
  <cols>
    <col min="1" max="1" width="40.5546875" bestFit="1" customWidth="1"/>
    <col min="2" max="8" width="16.33203125" bestFit="1" customWidth="1"/>
    <col min="9" max="9" width="8.5546875" customWidth="1"/>
    <col min="10" max="10" width="13.88671875" bestFit="1" customWidth="1"/>
    <col min="11" max="11" width="9.5546875" bestFit="1" customWidth="1"/>
  </cols>
  <sheetData>
    <row r="2" spans="1:8" ht="17.399999999999999">
      <c r="A2" s="426" t="s">
        <v>566</v>
      </c>
      <c r="B2" s="426"/>
      <c r="C2" s="426"/>
      <c r="D2" s="426"/>
      <c r="E2" s="426"/>
      <c r="F2" s="426"/>
      <c r="G2" s="426"/>
      <c r="H2" s="426"/>
    </row>
    <row r="4" spans="1:8">
      <c r="B4" s="3"/>
      <c r="C4" s="3"/>
      <c r="D4" s="3"/>
      <c r="E4" s="3"/>
      <c r="F4" s="3"/>
    </row>
    <row r="5" spans="1:8">
      <c r="A5" s="146" t="s">
        <v>0</v>
      </c>
      <c r="B5" s="118" t="s">
        <v>2</v>
      </c>
      <c r="C5" s="118" t="s">
        <v>3</v>
      </c>
      <c r="D5" s="118" t="s">
        <v>4</v>
      </c>
      <c r="E5" s="118" t="s">
        <v>5</v>
      </c>
      <c r="F5" s="118" t="s">
        <v>6</v>
      </c>
      <c r="G5" s="118" t="s">
        <v>170</v>
      </c>
      <c r="H5" s="118" t="s">
        <v>169</v>
      </c>
    </row>
    <row r="6" spans="1:8">
      <c r="A6" s="95" t="s">
        <v>126</v>
      </c>
      <c r="B6" s="93"/>
      <c r="C6" s="93"/>
      <c r="D6" s="93"/>
      <c r="E6" s="93"/>
      <c r="F6" s="93"/>
      <c r="G6" s="93"/>
      <c r="H6" s="93"/>
    </row>
    <row r="7" spans="1:8">
      <c r="A7" s="93"/>
      <c r="B7" s="93"/>
      <c r="C7" s="93"/>
      <c r="D7" s="93"/>
      <c r="E7" s="93"/>
      <c r="F7" s="93"/>
      <c r="G7" s="93"/>
      <c r="H7" s="93"/>
    </row>
    <row r="8" spans="1:8">
      <c r="A8" s="93" t="s">
        <v>512</v>
      </c>
      <c r="B8" s="94">
        <f>'12.Facility 1 - Trading'!D229</f>
        <v>30388797.094656002</v>
      </c>
      <c r="C8" s="94">
        <f>'12.Facility 1 - Trading'!E229</f>
        <v>36542089.525233597</v>
      </c>
      <c r="D8" s="94">
        <f>'12.Facility 1 - Trading'!F229</f>
        <v>42641848.739231281</v>
      </c>
      <c r="E8" s="94">
        <f>'12.Facility 1 - Trading'!G229</f>
        <v>49260228.650815636</v>
      </c>
      <c r="F8" s="94">
        <f>'12.Facility 1 - Trading'!H229</f>
        <v>56433841.931710385</v>
      </c>
      <c r="G8" s="94">
        <f>'12.Facility 1 - Trading'!I229</f>
        <v>64201665.969067559</v>
      </c>
      <c r="H8" s="94">
        <f>'12.Facility 1 - Trading'!J229</f>
        <v>72605187.805331156</v>
      </c>
    </row>
    <row r="9" spans="1:8">
      <c r="A9" s="93" t="s">
        <v>513</v>
      </c>
      <c r="B9" s="94">
        <f>'13.Facility 2 Grain Processing'!D148</f>
        <v>0</v>
      </c>
      <c r="C9" s="94">
        <f>'13.Facility 2 Grain Processing'!E148</f>
        <v>0</v>
      </c>
      <c r="D9" s="94">
        <f>'13.Facility 2 Grain Processing'!F148</f>
        <v>0</v>
      </c>
      <c r="E9" s="94">
        <f>'13.Facility 2 Grain Processing'!G148</f>
        <v>0</v>
      </c>
      <c r="F9" s="94">
        <f>'13.Facility 2 Grain Processing'!H148</f>
        <v>0</v>
      </c>
      <c r="G9" s="94">
        <f>'13.Facility 2 Grain Processing'!I148</f>
        <v>0</v>
      </c>
      <c r="H9" s="94">
        <f>'13.Facility 2 Grain Processing'!J148</f>
        <v>0</v>
      </c>
    </row>
    <row r="10" spans="1:8">
      <c r="A10" s="93" t="s">
        <v>514</v>
      </c>
      <c r="B10" s="94">
        <f>'14. Facility 3 Warehouse'!D24</f>
        <v>1890000</v>
      </c>
      <c r="C10" s="94">
        <f>'14. Facility 3 Warehouse'!E24</f>
        <v>2126250</v>
      </c>
      <c r="D10" s="94">
        <f>'14. Facility 3 Warehouse'!F24</f>
        <v>2381400</v>
      </c>
      <c r="E10" s="94">
        <f>'14. Facility 3 Warehouse'!G24</f>
        <v>2656749.3750000009</v>
      </c>
      <c r="F10" s="94">
        <f>'14. Facility 3 Warehouse'!H24</f>
        <v>2953680.1875000009</v>
      </c>
      <c r="G10" s="94">
        <f>'14. Facility 3 Warehouse'!I24</f>
        <v>3101364.1968750013</v>
      </c>
      <c r="H10" s="94">
        <f>'14. Facility 3 Warehouse'!J24</f>
        <v>3256432.4067187514</v>
      </c>
    </row>
    <row r="11" spans="1:8">
      <c r="A11" s="93" t="s">
        <v>515</v>
      </c>
      <c r="B11" s="94">
        <f>'15. Facility 4 Custom Hiring'!E39</f>
        <v>3088000</v>
      </c>
      <c r="C11" s="94">
        <f>'15. Facility 4 Custom Hiring'!F39</f>
        <v>3242400</v>
      </c>
      <c r="D11" s="94">
        <f>'15. Facility 4 Custom Hiring'!G39</f>
        <v>3404520</v>
      </c>
      <c r="E11" s="94">
        <f>'15. Facility 4 Custom Hiring'!H39</f>
        <v>3574746.0000000005</v>
      </c>
      <c r="F11" s="94">
        <f>'15. Facility 4 Custom Hiring'!I39</f>
        <v>3753483.3000000003</v>
      </c>
      <c r="G11" s="94">
        <f>'15. Facility 4 Custom Hiring'!J39</f>
        <v>3941157.4650000008</v>
      </c>
      <c r="H11" s="94">
        <f>'15. Facility 4 Custom Hiring'!K39</f>
        <v>4138215.338250001</v>
      </c>
    </row>
    <row r="12" spans="1:8">
      <c r="A12" s="93" t="s">
        <v>511</v>
      </c>
      <c r="B12" s="94">
        <f>'16.Facility 5 Agri Input'!D191</f>
        <v>80102219.15519999</v>
      </c>
      <c r="C12" s="94">
        <f>'16.Facility 5 Agri Input'!E191</f>
        <v>95455679.208119988</v>
      </c>
      <c r="D12" s="94">
        <f>'16.Facility 5 Agri Input'!F191</f>
        <v>111377135.17992604</v>
      </c>
      <c r="E12" s="94">
        <f>'16.Facility 5 Agri Input'!G191</f>
        <v>128652097.55089234</v>
      </c>
      <c r="F12" s="94">
        <f>'16.Facility 5 Agri Input'!H191</f>
        <v>147376113.32100549</v>
      </c>
      <c r="G12" s="94">
        <f>'16.Facility 5 Agri Input'!I191</f>
        <v>167650900.42425269</v>
      </c>
      <c r="H12" s="94">
        <f>'16.Facility 5 Agri Input'!J191</f>
        <v>189584725.95452213</v>
      </c>
    </row>
    <row r="13" spans="1:8">
      <c r="A13" s="93" t="s">
        <v>536</v>
      </c>
      <c r="B13" s="94">
        <f>'17.Facility 6 Horti Processing '!D159</f>
        <v>0</v>
      </c>
      <c r="C13" s="94">
        <f>'17.Facility 6 Horti Processing '!E159</f>
        <v>0</v>
      </c>
      <c r="D13" s="94">
        <f>'17.Facility 6 Horti Processing '!F159</f>
        <v>0</v>
      </c>
      <c r="E13" s="94">
        <f>'17.Facility 6 Horti Processing '!G159</f>
        <v>0</v>
      </c>
      <c r="F13" s="94">
        <f>'17.Facility 6 Horti Processing '!H159</f>
        <v>0</v>
      </c>
      <c r="G13" s="94">
        <f>'17.Facility 6 Horti Processing '!I159</f>
        <v>0</v>
      </c>
      <c r="H13" s="94">
        <f>'17.Facility 6 Horti Processing '!J159</f>
        <v>0</v>
      </c>
    </row>
    <row r="14" spans="1:8">
      <c r="A14" s="93"/>
      <c r="B14" s="94"/>
      <c r="C14" s="94"/>
      <c r="D14" s="94"/>
      <c r="E14" s="94"/>
      <c r="F14" s="94"/>
      <c r="G14" s="94"/>
      <c r="H14" s="94"/>
    </row>
    <row r="15" spans="1:8">
      <c r="A15" s="95" t="s">
        <v>143</v>
      </c>
      <c r="B15" s="113">
        <f>SUM(B8:B14)</f>
        <v>115469016.249856</v>
      </c>
      <c r="C15" s="113">
        <f t="shared" ref="C15:H15" si="0">SUM(C8:C14)</f>
        <v>137366418.73335359</v>
      </c>
      <c r="D15" s="113">
        <f t="shared" si="0"/>
        <v>159804903.91915733</v>
      </c>
      <c r="E15" s="113">
        <f t="shared" si="0"/>
        <v>184143821.57670796</v>
      </c>
      <c r="F15" s="113">
        <f t="shared" si="0"/>
        <v>210517118.74021587</v>
      </c>
      <c r="G15" s="113">
        <f t="shared" si="0"/>
        <v>238895088.05519527</v>
      </c>
      <c r="H15" s="113">
        <f t="shared" si="0"/>
        <v>269584561.50482202</v>
      </c>
    </row>
    <row r="16" spans="1:8">
      <c r="A16" s="93"/>
      <c r="B16" s="94"/>
      <c r="C16" s="94"/>
      <c r="D16" s="94"/>
      <c r="E16" s="94"/>
      <c r="F16" s="94"/>
      <c r="G16" s="94"/>
      <c r="H16" s="94"/>
    </row>
    <row r="17" spans="1:8">
      <c r="A17" s="95" t="s">
        <v>313</v>
      </c>
      <c r="B17" s="94"/>
      <c r="C17" s="94"/>
      <c r="D17" s="94"/>
      <c r="E17" s="94"/>
      <c r="F17" s="94"/>
      <c r="G17" s="94"/>
      <c r="H17" s="94"/>
    </row>
    <row r="18" spans="1:8">
      <c r="A18" s="93" t="str">
        <f t="shared" ref="A18:A23" si="1">A8</f>
        <v>Faclitiy 1 - Cleaning &amp; Grading</v>
      </c>
      <c r="B18" s="94">
        <f>'12.Facility 1 - Trading'!D292</f>
        <v>29396744.710636802</v>
      </c>
      <c r="C18" s="94">
        <f>'12.Facility 1 - Trading'!E292</f>
        <v>35322680.335387923</v>
      </c>
      <c r="D18" s="94">
        <f>'12.Facility 1 - Trading'!F292</f>
        <v>41216054.213328116</v>
      </c>
      <c r="E18" s="94">
        <f>'12.Facility 1 - Trading'!G292</f>
        <v>47616195.54105638</v>
      </c>
      <c r="F18" s="94">
        <f>'12.Facility 1 - Trading'!H292</f>
        <v>54547287.265050009</v>
      </c>
      <c r="G18" s="94">
        <f>'12.Facility 1 - Trading'!I292</f>
        <v>62052322.305275761</v>
      </c>
      <c r="H18" s="94">
        <f>'12.Facility 1 - Trading'!J292</f>
        <v>70178265.287115768</v>
      </c>
    </row>
    <row r="19" spans="1:8">
      <c r="A19" s="93" t="str">
        <f t="shared" si="1"/>
        <v>Faclitiy 2 - Processing Unit- Dal Mill</v>
      </c>
      <c r="B19" s="94">
        <f>'13.Facility 2 Grain Processing'!D169</f>
        <v>0</v>
      </c>
      <c r="C19" s="94">
        <f>'13.Facility 2 Grain Processing'!E169</f>
        <v>0</v>
      </c>
      <c r="D19" s="94">
        <f>'13.Facility 2 Grain Processing'!F169</f>
        <v>0</v>
      </c>
      <c r="E19" s="94">
        <f>'13.Facility 2 Grain Processing'!G169</f>
        <v>0</v>
      </c>
      <c r="F19" s="94">
        <f>'13.Facility 2 Grain Processing'!H169</f>
        <v>0</v>
      </c>
      <c r="G19" s="94">
        <f>'13.Facility 2 Grain Processing'!I169</f>
        <v>0</v>
      </c>
      <c r="H19" s="94">
        <f>'13.Facility 2 Grain Processing'!J169</f>
        <v>0</v>
      </c>
    </row>
    <row r="20" spans="1:8">
      <c r="A20" s="93" t="str">
        <f t="shared" si="1"/>
        <v>Faclitiy 3 - Warehouse</v>
      </c>
      <c r="B20" s="94">
        <f>'14. Facility 3 Warehouse'!D35</f>
        <v>286800</v>
      </c>
      <c r="C20" s="94">
        <f>'14. Facility 3 Warehouse'!E35</f>
        <v>301140</v>
      </c>
      <c r="D20" s="94">
        <f>'14. Facility 3 Warehouse'!F35</f>
        <v>316197</v>
      </c>
      <c r="E20" s="94">
        <f>'14. Facility 3 Warehouse'!G35</f>
        <v>332006.85000000003</v>
      </c>
      <c r="F20" s="94">
        <f>'14. Facility 3 Warehouse'!H35</f>
        <v>348607.19250000006</v>
      </c>
      <c r="G20" s="94">
        <f>'14. Facility 3 Warehouse'!I35</f>
        <v>366037.55212500016</v>
      </c>
      <c r="H20" s="94">
        <f>'14. Facility 3 Warehouse'!J35</f>
        <v>384339.4297312501</v>
      </c>
    </row>
    <row r="21" spans="1:8">
      <c r="A21" s="93" t="str">
        <f t="shared" si="1"/>
        <v xml:space="preserve">Faclitiy 4 - Custom Hiring </v>
      </c>
      <c r="B21" s="94">
        <f>'15. Facility 4 Custom Hiring'!E49</f>
        <v>1233000</v>
      </c>
      <c r="C21" s="94">
        <f>'15. Facility 4 Custom Hiring'!F49</f>
        <v>1294650</v>
      </c>
      <c r="D21" s="94">
        <f>'15. Facility 4 Custom Hiring'!G49</f>
        <v>1359382.5</v>
      </c>
      <c r="E21" s="94">
        <f>'15. Facility 4 Custom Hiring'!H49</f>
        <v>1427351.6250000002</v>
      </c>
      <c r="F21" s="94">
        <f>'15. Facility 4 Custom Hiring'!I49</f>
        <v>1498719.2062500003</v>
      </c>
      <c r="G21" s="94">
        <f>'15. Facility 4 Custom Hiring'!J49</f>
        <v>1573655.1665625004</v>
      </c>
      <c r="H21" s="94">
        <f>'15. Facility 4 Custom Hiring'!K49</f>
        <v>1652337.9248906253</v>
      </c>
    </row>
    <row r="22" spans="1:8">
      <c r="A22" s="93" t="str">
        <f t="shared" si="1"/>
        <v>Faclitiy 5 - Agri Input Centre</v>
      </c>
      <c r="B22" s="94">
        <f>'16.Facility 5 Agri Input'!D262</f>
        <v>79713215.112959981</v>
      </c>
      <c r="C22" s="94">
        <f>'16.Facility 5 Agri Input'!E262</f>
        <v>94949728.798584014</v>
      </c>
      <c r="D22" s="94">
        <f>'16.Facility 5 Agri Input'!F262</f>
        <v>110786182.46110803</v>
      </c>
      <c r="E22" s="94">
        <f>'16.Facility 5 Agri Input'!G262</f>
        <v>127968907.16788796</v>
      </c>
      <c r="F22" s="94">
        <f>'16.Facility 5 Agri Input'!H262</f>
        <v>146592938.88919321</v>
      </c>
      <c r="G22" s="94">
        <f>'16.Facility 5 Agri Input'!I262</f>
        <v>166759451.51470914</v>
      </c>
      <c r="H22" s="94">
        <f>'16.Facility 5 Agri Input'!J262</f>
        <v>188576133.05555373</v>
      </c>
    </row>
    <row r="23" spans="1:8">
      <c r="A23" s="93" t="str">
        <f t="shared" si="1"/>
        <v>Facility 6 - Processing Unit - Horti Commodity</v>
      </c>
      <c r="B23" s="94">
        <f>'17.Facility 6 Horti Processing '!D177</f>
        <v>0</v>
      </c>
      <c r="C23" s="94">
        <f>'17.Facility 6 Horti Processing '!E177</f>
        <v>0</v>
      </c>
      <c r="D23" s="94">
        <f>'17.Facility 6 Horti Processing '!F177</f>
        <v>0</v>
      </c>
      <c r="E23" s="94">
        <f>'17.Facility 6 Horti Processing '!G177</f>
        <v>0</v>
      </c>
      <c r="F23" s="94">
        <f>'17.Facility 6 Horti Processing '!H177</f>
        <v>0</v>
      </c>
      <c r="G23" s="94">
        <f>'17.Facility 6 Horti Processing '!I177</f>
        <v>0</v>
      </c>
      <c r="H23" s="94">
        <f>'17.Facility 6 Horti Processing '!J177</f>
        <v>0</v>
      </c>
    </row>
    <row r="24" spans="1:8">
      <c r="A24" s="93"/>
      <c r="B24" s="94"/>
      <c r="C24" s="94"/>
      <c r="D24" s="94"/>
      <c r="E24" s="94"/>
      <c r="F24" s="94"/>
      <c r="G24" s="94"/>
      <c r="H24" s="94"/>
    </row>
    <row r="25" spans="1:8">
      <c r="A25" s="95" t="s">
        <v>324</v>
      </c>
      <c r="B25" s="113">
        <f>SUM(B18:B24)</f>
        <v>110629759.82359678</v>
      </c>
      <c r="C25" s="113">
        <f t="shared" ref="C25:H25" si="2">SUM(C18:C24)</f>
        <v>131868199.13397193</v>
      </c>
      <c r="D25" s="113">
        <f t="shared" si="2"/>
        <v>153677816.17443615</v>
      </c>
      <c r="E25" s="113">
        <f t="shared" si="2"/>
        <v>177344461.18394434</v>
      </c>
      <c r="F25" s="113">
        <f t="shared" si="2"/>
        <v>202987552.55299321</v>
      </c>
      <c r="G25" s="113">
        <f t="shared" si="2"/>
        <v>230751466.53867239</v>
      </c>
      <c r="H25" s="113">
        <f t="shared" si="2"/>
        <v>260791075.69729137</v>
      </c>
    </row>
    <row r="26" spans="1:8">
      <c r="A26" s="93"/>
      <c r="B26" s="94"/>
      <c r="C26" s="94"/>
      <c r="D26" s="94"/>
      <c r="E26" s="94"/>
      <c r="F26" s="94"/>
      <c r="G26" s="94"/>
      <c r="H26" s="94"/>
    </row>
    <row r="27" spans="1:8">
      <c r="A27" s="95" t="s">
        <v>311</v>
      </c>
      <c r="B27" s="94"/>
      <c r="C27" s="94"/>
      <c r="D27" s="94"/>
      <c r="E27" s="94"/>
      <c r="F27" s="94"/>
      <c r="G27" s="94"/>
      <c r="H27" s="94"/>
    </row>
    <row r="28" spans="1:8">
      <c r="A28" s="93" t="str">
        <f t="shared" ref="A28:A33" si="3">A18</f>
        <v>Faclitiy 1 - Cleaning &amp; Grading</v>
      </c>
      <c r="B28" s="94">
        <f>'12.Facility 1 - Trading'!D301</f>
        <v>300000</v>
      </c>
      <c r="C28" s="94">
        <f>'12.Facility 1 - Trading'!E301</f>
        <v>315000</v>
      </c>
      <c r="D28" s="94">
        <f>'12.Facility 1 - Trading'!F301</f>
        <v>330750</v>
      </c>
      <c r="E28" s="94">
        <f>'12.Facility 1 - Trading'!G301</f>
        <v>347287.50000000006</v>
      </c>
      <c r="F28" s="94">
        <f>'12.Facility 1 - Trading'!H301</f>
        <v>364651.87500000006</v>
      </c>
      <c r="G28" s="94">
        <f>'12.Facility 1 - Trading'!I301</f>
        <v>382884.46875000012</v>
      </c>
      <c r="H28" s="94">
        <f>'12.Facility 1 - Trading'!J301</f>
        <v>402028.69218750019</v>
      </c>
    </row>
    <row r="29" spans="1:8">
      <c r="A29" s="93" t="str">
        <f t="shared" si="3"/>
        <v>Faclitiy 2 - Processing Unit- Dal Mill</v>
      </c>
      <c r="B29" s="94">
        <f>'13.Facility 2 Grain Processing'!D177</f>
        <v>0</v>
      </c>
      <c r="C29" s="94">
        <f>'13.Facility 2 Grain Processing'!E177</f>
        <v>0</v>
      </c>
      <c r="D29" s="94">
        <f>'13.Facility 2 Grain Processing'!F177</f>
        <v>0</v>
      </c>
      <c r="E29" s="94">
        <f>'13.Facility 2 Grain Processing'!G177</f>
        <v>0</v>
      </c>
      <c r="F29" s="94">
        <f>'13.Facility 2 Grain Processing'!H177</f>
        <v>0</v>
      </c>
      <c r="G29" s="94">
        <f>'13.Facility 2 Grain Processing'!I177</f>
        <v>0</v>
      </c>
      <c r="H29" s="94">
        <f>'13.Facility 2 Grain Processing'!J177</f>
        <v>0</v>
      </c>
    </row>
    <row r="30" spans="1:8">
      <c r="A30" s="93" t="str">
        <f t="shared" si="3"/>
        <v>Faclitiy 3 - Warehouse</v>
      </c>
      <c r="B30" s="94">
        <f>'14. Facility 3 Warehouse'!D44</f>
        <v>313445</v>
      </c>
      <c r="C30" s="94">
        <f>'14. Facility 3 Warehouse'!E44</f>
        <v>330080</v>
      </c>
      <c r="D30" s="94">
        <f>'14. Facility 3 Warehouse'!F44</f>
        <v>347820.79999999999</v>
      </c>
      <c r="E30" s="94">
        <f>'14. Facility 3 Warehouse'!G44</f>
        <v>366736.39250000002</v>
      </c>
      <c r="F30" s="94">
        <f>'14. Facility 3 Warehouse'!H44</f>
        <v>386899.90475000005</v>
      </c>
      <c r="G30" s="94">
        <f>'14. Facility 3 Warehouse'!I44</f>
        <v>401726.6499875001</v>
      </c>
      <c r="H30" s="94">
        <f>'14. Facility 3 Warehouse'!J44</f>
        <v>417294.73248687515</v>
      </c>
    </row>
    <row r="31" spans="1:8">
      <c r="A31" s="93" t="str">
        <f t="shared" si="3"/>
        <v xml:space="preserve">Faclitiy 4 - Custom Hiring </v>
      </c>
      <c r="B31" s="94">
        <f>'15. Facility 4 Custom Hiring'!E56</f>
        <v>318035</v>
      </c>
      <c r="C31" s="94">
        <f>'15. Facility 4 Custom Hiring'!F56</f>
        <v>309630</v>
      </c>
      <c r="D31" s="94">
        <f>'15. Facility 4 Custom Hiring'!G56</f>
        <v>337715</v>
      </c>
      <c r="E31" s="94">
        <f>'15. Facility 4 Custom Hiring'!H56</f>
        <v>330294</v>
      </c>
      <c r="F31" s="94">
        <f>'15. Facility 4 Custom Hiring'!I56</f>
        <v>359412.20000000007</v>
      </c>
      <c r="G31" s="94">
        <f>'15. Facility 4 Custom Hiring'!J56</f>
        <v>353076.06000000006</v>
      </c>
      <c r="H31" s="94">
        <f>'15. Facility 4 Custom Hiring'!K56</f>
        <v>383333.36300000007</v>
      </c>
    </row>
    <row r="32" spans="1:8">
      <c r="A32" s="93" t="str">
        <f t="shared" si="3"/>
        <v>Faclitiy 5 - Agri Input Centre</v>
      </c>
      <c r="B32" s="94">
        <f>'16.Facility 5 Agri Input'!D273</f>
        <v>318000</v>
      </c>
      <c r="C32" s="94">
        <f>'16.Facility 5 Agri Input'!E273</f>
        <v>333900</v>
      </c>
      <c r="D32" s="94">
        <f>'16.Facility 5 Agri Input'!F273</f>
        <v>350595</v>
      </c>
      <c r="E32" s="94">
        <f>'16.Facility 5 Agri Input'!G273</f>
        <v>368124.75000000006</v>
      </c>
      <c r="F32" s="94">
        <f>'16.Facility 5 Agri Input'!H273</f>
        <v>386530.9875000001</v>
      </c>
      <c r="G32" s="94">
        <f>'16.Facility 5 Agri Input'!I273</f>
        <v>405857.53687500005</v>
      </c>
      <c r="H32" s="94">
        <f>'16.Facility 5 Agri Input'!J273</f>
        <v>426150.41371875012</v>
      </c>
    </row>
    <row r="33" spans="1:10">
      <c r="A33" s="93" t="str">
        <f t="shared" si="3"/>
        <v>Facility 6 - Processing Unit - Horti Commodity</v>
      </c>
      <c r="B33" s="94">
        <f>'17.Facility 6 Horti Processing '!D185</f>
        <v>0</v>
      </c>
      <c r="C33" s="94">
        <f>'17.Facility 6 Horti Processing '!E185</f>
        <v>0</v>
      </c>
      <c r="D33" s="94">
        <f>'17.Facility 6 Horti Processing '!F185</f>
        <v>0</v>
      </c>
      <c r="E33" s="94">
        <f>'17.Facility 6 Horti Processing '!G185</f>
        <v>0</v>
      </c>
      <c r="F33" s="94">
        <f>'17.Facility 6 Horti Processing '!H185</f>
        <v>0</v>
      </c>
      <c r="G33" s="94">
        <f>'17.Facility 6 Horti Processing '!I185</f>
        <v>0</v>
      </c>
      <c r="H33" s="94">
        <f>'17.Facility 6 Horti Processing '!J185</f>
        <v>0</v>
      </c>
    </row>
    <row r="34" spans="1:10">
      <c r="A34" s="93"/>
      <c r="B34" s="94"/>
      <c r="C34" s="94"/>
      <c r="D34" s="94"/>
      <c r="E34" s="94"/>
      <c r="F34" s="94"/>
      <c r="G34" s="94"/>
      <c r="H34" s="94"/>
    </row>
    <row r="35" spans="1:10">
      <c r="A35" s="93" t="s">
        <v>9</v>
      </c>
      <c r="B35" s="94">
        <f>'3.Other Exp &amp; Taxes'!E24</f>
        <v>896400</v>
      </c>
      <c r="C35" s="94">
        <f>'3.Other Exp &amp; Taxes'!F24</f>
        <v>905364</v>
      </c>
      <c r="D35" s="94">
        <f>'3.Other Exp &amp; Taxes'!G24</f>
        <v>914328</v>
      </c>
      <c r="E35" s="94">
        <f>'3.Other Exp &amp; Taxes'!H24</f>
        <v>923292</v>
      </c>
      <c r="F35" s="94">
        <f>'3.Other Exp &amp; Taxes'!I24</f>
        <v>932256</v>
      </c>
      <c r="G35" s="94">
        <f>'3.Other Exp &amp; Taxes'!J24</f>
        <v>941220</v>
      </c>
      <c r="H35" s="94">
        <f>'3.Other Exp &amp; Taxes'!K24</f>
        <v>941220</v>
      </c>
    </row>
    <row r="36" spans="1:10">
      <c r="A36" s="95" t="s">
        <v>328</v>
      </c>
      <c r="B36" s="113">
        <f>SUM(B28:B35)</f>
        <v>2145880</v>
      </c>
      <c r="C36" s="113">
        <f t="shared" ref="C36:H36" si="4">SUM(C28:C35)</f>
        <v>2193974</v>
      </c>
      <c r="D36" s="113">
        <f t="shared" si="4"/>
        <v>2281208.7999999998</v>
      </c>
      <c r="E36" s="113">
        <f t="shared" si="4"/>
        <v>2335734.6425000001</v>
      </c>
      <c r="F36" s="113">
        <f t="shared" si="4"/>
        <v>2429750.9672500002</v>
      </c>
      <c r="G36" s="113">
        <f t="shared" si="4"/>
        <v>2484764.7156125</v>
      </c>
      <c r="H36" s="113">
        <f t="shared" si="4"/>
        <v>2570027.2013931256</v>
      </c>
    </row>
    <row r="37" spans="1:10">
      <c r="A37" s="93"/>
      <c r="B37" s="94"/>
      <c r="C37" s="94"/>
      <c r="D37" s="94"/>
      <c r="E37" s="94"/>
      <c r="F37" s="94"/>
      <c r="G37" s="94"/>
      <c r="H37" s="94"/>
    </row>
    <row r="38" spans="1:10">
      <c r="A38" s="95" t="s">
        <v>332</v>
      </c>
      <c r="B38" s="113">
        <f t="shared" ref="B38:H38" si="5">B25+B36</f>
        <v>112775639.82359678</v>
      </c>
      <c r="C38" s="113">
        <f t="shared" si="5"/>
        <v>134062173.13397193</v>
      </c>
      <c r="D38" s="113">
        <f t="shared" si="5"/>
        <v>155959024.97443616</v>
      </c>
      <c r="E38" s="113">
        <f t="shared" si="5"/>
        <v>179680195.82644436</v>
      </c>
      <c r="F38" s="113">
        <f t="shared" si="5"/>
        <v>205417303.5202432</v>
      </c>
      <c r="G38" s="113">
        <f t="shared" si="5"/>
        <v>233236231.25428489</v>
      </c>
      <c r="H38" s="113">
        <f t="shared" si="5"/>
        <v>263361102.8986845</v>
      </c>
    </row>
    <row r="39" spans="1:10">
      <c r="A39" s="93"/>
      <c r="B39" s="94"/>
      <c r="C39" s="94"/>
      <c r="D39" s="94"/>
      <c r="E39" s="94"/>
      <c r="F39" s="94"/>
      <c r="G39" s="94"/>
      <c r="H39" s="94"/>
    </row>
    <row r="40" spans="1:10">
      <c r="A40" s="95" t="s">
        <v>136</v>
      </c>
      <c r="B40" s="113">
        <f t="shared" ref="B40:H40" si="6">B15-B38</f>
        <v>2693376.4262592196</v>
      </c>
      <c r="C40" s="113">
        <f t="shared" si="6"/>
        <v>3304245.5993816555</v>
      </c>
      <c r="D40" s="113">
        <f t="shared" si="6"/>
        <v>3845878.9447211623</v>
      </c>
      <c r="E40" s="113">
        <f t="shared" si="6"/>
        <v>4463625.7502636015</v>
      </c>
      <c r="F40" s="113">
        <f t="shared" si="6"/>
        <v>5099815.2199726701</v>
      </c>
      <c r="G40" s="113">
        <f t="shared" si="6"/>
        <v>5658856.8009103835</v>
      </c>
      <c r="H40" s="113">
        <f t="shared" si="6"/>
        <v>6223458.6061375141</v>
      </c>
      <c r="J40" s="65">
        <f>B49+B42+B43</f>
        <v>1143815.3841670486</v>
      </c>
    </row>
    <row r="41" spans="1:10">
      <c r="A41" s="93"/>
      <c r="B41" s="94"/>
      <c r="C41" s="94"/>
      <c r="D41" s="94"/>
      <c r="E41" s="94"/>
      <c r="F41" s="94"/>
      <c r="G41" s="94"/>
      <c r="H41" s="94"/>
      <c r="J41">
        <f>'5.Closing Stock &amp; W Capital'!E56</f>
        <v>1031754.7947004754</v>
      </c>
    </row>
    <row r="42" spans="1:10">
      <c r="A42" s="97" t="s">
        <v>17</v>
      </c>
      <c r="B42" s="94">
        <f>'3.Other Exp &amp; Taxes'!C67</f>
        <v>1157942.9093999998</v>
      </c>
      <c r="C42" s="94">
        <f>'3.Other Exp &amp; Taxes'!D67</f>
        <v>1157942.9093999998</v>
      </c>
      <c r="D42" s="94">
        <f>'3.Other Exp &amp; Taxes'!E67</f>
        <v>1157942.9093999998</v>
      </c>
      <c r="E42" s="94">
        <f>'3.Other Exp &amp; Taxes'!F67</f>
        <v>1157942.9093999998</v>
      </c>
      <c r="F42" s="94">
        <f>'3.Other Exp &amp; Taxes'!G67</f>
        <v>1157942.9093999998</v>
      </c>
      <c r="G42" s="94">
        <f>'3.Other Exp &amp; Taxes'!H67</f>
        <v>1157942.9093999998</v>
      </c>
      <c r="H42" s="94">
        <f>'3.Other Exp &amp; Taxes'!I67</f>
        <v>1157942.9093999998</v>
      </c>
      <c r="J42" s="65">
        <f>J40+J41</f>
        <v>2175570.178867524</v>
      </c>
    </row>
    <row r="43" spans="1:10">
      <c r="A43" s="97" t="s">
        <v>137</v>
      </c>
      <c r="B43" s="94">
        <f>'3.Other Exp &amp; Taxes'!C87</f>
        <v>192780</v>
      </c>
      <c r="C43" s="94">
        <f>'3.Other Exp &amp; Taxes'!D87</f>
        <v>192780</v>
      </c>
      <c r="D43" s="94">
        <f>'3.Other Exp &amp; Taxes'!E87</f>
        <v>192780</v>
      </c>
      <c r="E43" s="94">
        <f>'3.Other Exp &amp; Taxes'!F87</f>
        <v>192780</v>
      </c>
      <c r="F43" s="94">
        <f>'3.Other Exp &amp; Taxes'!G87</f>
        <v>192780</v>
      </c>
      <c r="G43" s="94">
        <f>'3.Other Exp &amp; Taxes'!H87</f>
        <v>0</v>
      </c>
      <c r="H43" s="94">
        <f>'3.Other Exp &amp; Taxes'!I87</f>
        <v>0</v>
      </c>
    </row>
    <row r="44" spans="1:10">
      <c r="A44" s="93"/>
      <c r="B44" s="94"/>
      <c r="C44" s="94"/>
      <c r="D44" s="94"/>
      <c r="E44" s="94"/>
      <c r="F44" s="94"/>
      <c r="G44" s="94"/>
      <c r="H44" s="94"/>
    </row>
    <row r="45" spans="1:10">
      <c r="A45" s="95" t="s">
        <v>138</v>
      </c>
      <c r="B45" s="113">
        <f>B40-B42-B43</f>
        <v>1342653.5168592199</v>
      </c>
      <c r="C45" s="113">
        <f t="shared" ref="C45:H45" si="7">C40-C42-C43</f>
        <v>1953522.6899816557</v>
      </c>
      <c r="D45" s="113">
        <f t="shared" si="7"/>
        <v>2495156.0353211625</v>
      </c>
      <c r="E45" s="113">
        <f t="shared" si="7"/>
        <v>3112902.8408636018</v>
      </c>
      <c r="F45" s="113">
        <f t="shared" si="7"/>
        <v>3749092.3105726703</v>
      </c>
      <c r="G45" s="113">
        <f t="shared" si="7"/>
        <v>4500913.8915103842</v>
      </c>
      <c r="H45" s="113">
        <f t="shared" si="7"/>
        <v>5065515.6967375148</v>
      </c>
    </row>
    <row r="46" spans="1:10">
      <c r="A46" s="93"/>
      <c r="B46" s="94"/>
      <c r="C46" s="94"/>
      <c r="D46" s="94"/>
      <c r="E46" s="94"/>
      <c r="F46" s="94"/>
      <c r="G46" s="94"/>
      <c r="H46" s="94"/>
    </row>
    <row r="47" spans="1:10">
      <c r="A47" s="93" t="s">
        <v>24</v>
      </c>
      <c r="B47" s="94">
        <f>'8.Cash Flow '!C26+'8.Cash Flow '!C28</f>
        <v>1549561.042092171</v>
      </c>
      <c r="C47" s="94">
        <f>'8.Cash Flow '!D26+'8.Cash Flow '!D28</f>
        <v>1701395.6236865558</v>
      </c>
      <c r="D47" s="94">
        <f>'8.Cash Flow '!E26+'8.Cash Flow '!E28</f>
        <v>1646751.4200906006</v>
      </c>
      <c r="E47" s="94">
        <f>'8.Cash Flow '!F26+'8.Cash Flow '!F28</f>
        <v>1581130.2578361267</v>
      </c>
      <c r="F47" s="94">
        <f>'8.Cash Flow '!G26+'8.Cash Flow '!G28</f>
        <v>1502678.643782238</v>
      </c>
      <c r="G47" s="94">
        <f>'8.Cash Flow '!H26+'8.Cash Flow '!H28</f>
        <v>1408483.0247744373</v>
      </c>
      <c r="H47" s="94">
        <f>'8.Cash Flow '!I26+'8.Cash Flow '!I28</f>
        <v>1296828.6914158114</v>
      </c>
    </row>
    <row r="48" spans="1:10">
      <c r="A48" s="93"/>
      <c r="B48" s="94"/>
      <c r="C48" s="94"/>
      <c r="D48" s="94"/>
      <c r="E48" s="94"/>
      <c r="F48" s="94"/>
      <c r="G48" s="94"/>
      <c r="H48" s="94"/>
    </row>
    <row r="49" spans="1:9">
      <c r="A49" s="93" t="s">
        <v>25</v>
      </c>
      <c r="B49" s="94">
        <f>B45-B47</f>
        <v>-206907.52523295116</v>
      </c>
      <c r="C49" s="94">
        <f t="shared" ref="C49:H49" si="8">C45-C47</f>
        <v>252127.06629509991</v>
      </c>
      <c r="D49" s="94">
        <f t="shared" si="8"/>
        <v>848404.61523056193</v>
      </c>
      <c r="E49" s="94">
        <f t="shared" si="8"/>
        <v>1531772.583027475</v>
      </c>
      <c r="F49" s="94">
        <f t="shared" si="8"/>
        <v>2246413.6667904323</v>
      </c>
      <c r="G49" s="94">
        <f t="shared" si="8"/>
        <v>3092430.8667359469</v>
      </c>
      <c r="H49" s="94">
        <f t="shared" si="8"/>
        <v>3768687.0053217034</v>
      </c>
    </row>
    <row r="50" spans="1:9">
      <c r="A50" s="93" t="s">
        <v>26</v>
      </c>
      <c r="B50" s="94">
        <f>'3.Other Exp &amp; Taxes'!C104</f>
        <v>0</v>
      </c>
      <c r="C50" s="94">
        <f>'3.Other Exp &amp; Taxes'!D104</f>
        <v>47904</v>
      </c>
      <c r="D50" s="94">
        <f>'3.Other Exp &amp; Taxes'!E104</f>
        <v>161197</v>
      </c>
      <c r="E50" s="94">
        <f>'3.Other Exp &amp; Taxes'!F104</f>
        <v>291037</v>
      </c>
      <c r="F50" s="94">
        <f>'3.Other Exp &amp; Taxes'!G104</f>
        <v>426819</v>
      </c>
      <c r="G50" s="94">
        <f>'3.Other Exp &amp; Taxes'!H104</f>
        <v>674530.71494348533</v>
      </c>
      <c r="H50" s="94">
        <f>'3.Other Exp &amp; Taxes'!I104</f>
        <v>901578.07938006124</v>
      </c>
    </row>
    <row r="51" spans="1:9">
      <c r="A51" s="95" t="s">
        <v>28</v>
      </c>
      <c r="B51" s="94">
        <f>B49-B50</f>
        <v>-206907.52523295116</v>
      </c>
      <c r="C51" s="94">
        <f>C49-C50</f>
        <v>204223.06629509991</v>
      </c>
      <c r="D51" s="94">
        <f>D49-D50</f>
        <v>687207.61523056193</v>
      </c>
      <c r="E51" s="94">
        <f>E49-E50</f>
        <v>1240735.583027475</v>
      </c>
      <c r="F51" s="94">
        <f>F49-F50</f>
        <v>1819594.6667904323</v>
      </c>
      <c r="G51" s="94">
        <f t="shared" ref="G51:H51" si="9">G49-G50</f>
        <v>2417900.1517924615</v>
      </c>
      <c r="H51" s="94">
        <f t="shared" si="9"/>
        <v>2867108.9259416424</v>
      </c>
    </row>
    <row r="52" spans="1:9">
      <c r="A52" s="92"/>
      <c r="B52" s="110"/>
      <c r="C52" s="110"/>
      <c r="D52" s="110"/>
      <c r="E52" s="110"/>
      <c r="F52" s="110"/>
      <c r="G52" s="110"/>
      <c r="H52" s="110"/>
    </row>
    <row r="53" spans="1:9">
      <c r="A53" s="92" t="s">
        <v>516</v>
      </c>
      <c r="B53" s="110">
        <f>B51</f>
        <v>-206907.52523295116</v>
      </c>
      <c r="C53" s="110">
        <f t="shared" ref="C53:H53" si="10">B53+C51</f>
        <v>-2684.4589378512464</v>
      </c>
      <c r="D53" s="110">
        <f t="shared" si="10"/>
        <v>684523.15629271069</v>
      </c>
      <c r="E53" s="110">
        <f t="shared" si="10"/>
        <v>1925258.7393201857</v>
      </c>
      <c r="F53" s="110">
        <f t="shared" si="10"/>
        <v>3744853.4061106183</v>
      </c>
      <c r="G53" s="110">
        <f t="shared" si="10"/>
        <v>6162753.5579030793</v>
      </c>
      <c r="H53" s="110">
        <f t="shared" si="10"/>
        <v>9029862.4838447217</v>
      </c>
    </row>
    <row r="56" spans="1:9" ht="32.4" customHeight="1">
      <c r="A56" s="457" t="s">
        <v>414</v>
      </c>
      <c r="B56" s="457"/>
      <c r="C56" s="457"/>
      <c r="D56" s="457"/>
      <c r="E56" s="457"/>
      <c r="F56" s="457"/>
      <c r="G56" s="457"/>
      <c r="H56" s="457"/>
      <c r="I56" s="457"/>
    </row>
    <row r="57" spans="1:9">
      <c r="A57" t="s">
        <v>696</v>
      </c>
      <c r="B57" t="s">
        <v>712</v>
      </c>
    </row>
    <row r="58" spans="1:9">
      <c r="A58" s="287"/>
    </row>
    <row r="62" spans="1:9">
      <c r="B62" s="65">
        <f>B12-B22</f>
        <v>389004.04224000871</v>
      </c>
      <c r="C62" s="65">
        <f t="shared" ref="C62:H62" si="11">C12-C22</f>
        <v>505950.40953597426</v>
      </c>
      <c r="D62" s="65">
        <f t="shared" si="11"/>
        <v>590952.7188180089</v>
      </c>
      <c r="E62" s="65">
        <f t="shared" si="11"/>
        <v>683190.38300438225</v>
      </c>
      <c r="F62" s="65">
        <f t="shared" si="11"/>
        <v>783174.43181228638</v>
      </c>
      <c r="G62" s="65">
        <f t="shared" si="11"/>
        <v>891448.90954354405</v>
      </c>
      <c r="H62" s="65">
        <f t="shared" si="11"/>
        <v>1008592.8989683986</v>
      </c>
    </row>
  </sheetData>
  <mergeCells count="2">
    <mergeCell ref="A2:H2"/>
    <mergeCell ref="A56:I56"/>
  </mergeCells>
  <pageMargins left="0.7" right="0.7" top="0.75" bottom="0.75" header="0.3" footer="0.3"/>
  <pageSetup scale="58" orientation="portrait"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zoomScale="130" zoomScaleNormal="130" zoomScaleSheetLayoutView="80" workbookViewId="0">
      <selection activeCell="A4" sqref="A4:H43"/>
    </sheetView>
  </sheetViews>
  <sheetFormatPr defaultRowHeight="14.4"/>
  <cols>
    <col min="1" max="1" width="31" style="51" customWidth="1"/>
    <col min="2" max="2" width="11.88671875" style="51" bestFit="1" customWidth="1"/>
    <col min="3" max="3" width="12.44140625" style="51" bestFit="1" customWidth="1"/>
    <col min="4" max="8" width="11.88671875" style="51" bestFit="1" customWidth="1"/>
    <col min="9" max="9" width="9.109375" style="51"/>
    <col min="10" max="10" width="32.88671875" style="51" bestFit="1" customWidth="1"/>
    <col min="11" max="16" width="8.6640625" style="51" bestFit="1"/>
    <col min="17" max="17" width="10.109375" style="51" bestFit="1" customWidth="1"/>
    <col min="18" max="256" width="9.109375" style="51"/>
    <col min="257" max="257" width="37.33203125" style="51" customWidth="1"/>
    <col min="258" max="258" width="18.44140625" style="51" bestFit="1" customWidth="1"/>
    <col min="259" max="262" width="12.44140625" style="51" bestFit="1" customWidth="1"/>
    <col min="263" max="263" width="11.6640625" style="51" bestFit="1" customWidth="1"/>
    <col min="264" max="512" width="9.109375" style="51"/>
    <col min="513" max="513" width="37.33203125" style="51" customWidth="1"/>
    <col min="514" max="514" width="18.44140625" style="51" bestFit="1" customWidth="1"/>
    <col min="515" max="518" width="12.44140625" style="51" bestFit="1" customWidth="1"/>
    <col min="519" max="519" width="11.6640625" style="51" bestFit="1" customWidth="1"/>
    <col min="520" max="768" width="9.109375" style="51"/>
    <col min="769" max="769" width="37.33203125" style="51" customWidth="1"/>
    <col min="770" max="770" width="18.44140625" style="51" bestFit="1" customWidth="1"/>
    <col min="771" max="774" width="12.44140625" style="51" bestFit="1" customWidth="1"/>
    <col min="775" max="775" width="11.6640625" style="51" bestFit="1" customWidth="1"/>
    <col min="776" max="1024" width="9.109375" style="51"/>
    <col min="1025" max="1025" width="37.33203125" style="51" customWidth="1"/>
    <col min="1026" max="1026" width="18.44140625" style="51" bestFit="1" customWidth="1"/>
    <col min="1027" max="1030" width="12.44140625" style="51" bestFit="1" customWidth="1"/>
    <col min="1031" max="1031" width="11.6640625" style="51" bestFit="1" customWidth="1"/>
    <col min="1032" max="1280" width="9.109375" style="51"/>
    <col min="1281" max="1281" width="37.33203125" style="51" customWidth="1"/>
    <col min="1282" max="1282" width="18.44140625" style="51" bestFit="1" customWidth="1"/>
    <col min="1283" max="1286" width="12.44140625" style="51" bestFit="1" customWidth="1"/>
    <col min="1287" max="1287" width="11.6640625" style="51" bestFit="1" customWidth="1"/>
    <col min="1288" max="1536" width="9.109375" style="51"/>
    <col min="1537" max="1537" width="37.33203125" style="51" customWidth="1"/>
    <col min="1538" max="1538" width="18.44140625" style="51" bestFit="1" customWidth="1"/>
    <col min="1539" max="1542" width="12.44140625" style="51" bestFit="1" customWidth="1"/>
    <col min="1543" max="1543" width="11.6640625" style="51" bestFit="1" customWidth="1"/>
    <col min="1544" max="1792" width="9.109375" style="51"/>
    <col min="1793" max="1793" width="37.33203125" style="51" customWidth="1"/>
    <col min="1794" max="1794" width="18.44140625" style="51" bestFit="1" customWidth="1"/>
    <col min="1795" max="1798" width="12.44140625" style="51" bestFit="1" customWidth="1"/>
    <col min="1799" max="1799" width="11.6640625" style="51" bestFit="1" customWidth="1"/>
    <col min="1800" max="2048" width="9.109375" style="51"/>
    <col min="2049" max="2049" width="37.33203125" style="51" customWidth="1"/>
    <col min="2050" max="2050" width="18.44140625" style="51" bestFit="1" customWidth="1"/>
    <col min="2051" max="2054" width="12.44140625" style="51" bestFit="1" customWidth="1"/>
    <col min="2055" max="2055" width="11.6640625" style="51" bestFit="1" customWidth="1"/>
    <col min="2056" max="2304" width="9.109375" style="51"/>
    <col min="2305" max="2305" width="37.33203125" style="51" customWidth="1"/>
    <col min="2306" max="2306" width="18.44140625" style="51" bestFit="1" customWidth="1"/>
    <col min="2307" max="2310" width="12.44140625" style="51" bestFit="1" customWidth="1"/>
    <col min="2311" max="2311" width="11.6640625" style="51" bestFit="1" customWidth="1"/>
    <col min="2312" max="2560" width="9.109375" style="51"/>
    <col min="2561" max="2561" width="37.33203125" style="51" customWidth="1"/>
    <col min="2562" max="2562" width="18.44140625" style="51" bestFit="1" customWidth="1"/>
    <col min="2563" max="2566" width="12.44140625" style="51" bestFit="1" customWidth="1"/>
    <col min="2567" max="2567" width="11.6640625" style="51" bestFit="1" customWidth="1"/>
    <col min="2568" max="2816" width="9.109375" style="51"/>
    <col min="2817" max="2817" width="37.33203125" style="51" customWidth="1"/>
    <col min="2818" max="2818" width="18.44140625" style="51" bestFit="1" customWidth="1"/>
    <col min="2819" max="2822" width="12.44140625" style="51" bestFit="1" customWidth="1"/>
    <col min="2823" max="2823" width="11.6640625" style="51" bestFit="1" customWidth="1"/>
    <col min="2824" max="3072" width="9.109375" style="51"/>
    <col min="3073" max="3073" width="37.33203125" style="51" customWidth="1"/>
    <col min="3074" max="3074" width="18.44140625" style="51" bestFit="1" customWidth="1"/>
    <col min="3075" max="3078" width="12.44140625" style="51" bestFit="1" customWidth="1"/>
    <col min="3079" max="3079" width="11.6640625" style="51" bestFit="1" customWidth="1"/>
    <col min="3080" max="3328" width="9.109375" style="51"/>
    <col min="3329" max="3329" width="37.33203125" style="51" customWidth="1"/>
    <col min="3330" max="3330" width="18.44140625" style="51" bestFit="1" customWidth="1"/>
    <col min="3331" max="3334" width="12.44140625" style="51" bestFit="1" customWidth="1"/>
    <col min="3335" max="3335" width="11.6640625" style="51" bestFit="1" customWidth="1"/>
    <col min="3336" max="3584" width="9.109375" style="51"/>
    <col min="3585" max="3585" width="37.33203125" style="51" customWidth="1"/>
    <col min="3586" max="3586" width="18.44140625" style="51" bestFit="1" customWidth="1"/>
    <col min="3587" max="3590" width="12.44140625" style="51" bestFit="1" customWidth="1"/>
    <col min="3591" max="3591" width="11.6640625" style="51" bestFit="1" customWidth="1"/>
    <col min="3592" max="3840" width="9.109375" style="51"/>
    <col min="3841" max="3841" width="37.33203125" style="51" customWidth="1"/>
    <col min="3842" max="3842" width="18.44140625" style="51" bestFit="1" customWidth="1"/>
    <col min="3843" max="3846" width="12.44140625" style="51" bestFit="1" customWidth="1"/>
    <col min="3847" max="3847" width="11.6640625" style="51" bestFit="1" customWidth="1"/>
    <col min="3848" max="4096" width="9.109375" style="51"/>
    <col min="4097" max="4097" width="37.33203125" style="51" customWidth="1"/>
    <col min="4098" max="4098" width="18.44140625" style="51" bestFit="1" customWidth="1"/>
    <col min="4099" max="4102" width="12.44140625" style="51" bestFit="1" customWidth="1"/>
    <col min="4103" max="4103" width="11.6640625" style="51" bestFit="1" customWidth="1"/>
    <col min="4104" max="4352" width="9.109375" style="51"/>
    <col min="4353" max="4353" width="37.33203125" style="51" customWidth="1"/>
    <col min="4354" max="4354" width="18.44140625" style="51" bestFit="1" customWidth="1"/>
    <col min="4355" max="4358" width="12.44140625" style="51" bestFit="1" customWidth="1"/>
    <col min="4359" max="4359" width="11.6640625" style="51" bestFit="1" customWidth="1"/>
    <col min="4360" max="4608" width="9.109375" style="51"/>
    <col min="4609" max="4609" width="37.33203125" style="51" customWidth="1"/>
    <col min="4610" max="4610" width="18.44140625" style="51" bestFit="1" customWidth="1"/>
    <col min="4611" max="4614" width="12.44140625" style="51" bestFit="1" customWidth="1"/>
    <col min="4615" max="4615" width="11.6640625" style="51" bestFit="1" customWidth="1"/>
    <col min="4616" max="4864" width="9.109375" style="51"/>
    <col min="4865" max="4865" width="37.33203125" style="51" customWidth="1"/>
    <col min="4866" max="4866" width="18.44140625" style="51" bestFit="1" customWidth="1"/>
    <col min="4867" max="4870" width="12.44140625" style="51" bestFit="1" customWidth="1"/>
    <col min="4871" max="4871" width="11.6640625" style="51" bestFit="1" customWidth="1"/>
    <col min="4872" max="5120" width="9.109375" style="51"/>
    <col min="5121" max="5121" width="37.33203125" style="51" customWidth="1"/>
    <col min="5122" max="5122" width="18.44140625" style="51" bestFit="1" customWidth="1"/>
    <col min="5123" max="5126" width="12.44140625" style="51" bestFit="1" customWidth="1"/>
    <col min="5127" max="5127" width="11.6640625" style="51" bestFit="1" customWidth="1"/>
    <col min="5128" max="5376" width="9.109375" style="51"/>
    <col min="5377" max="5377" width="37.33203125" style="51" customWidth="1"/>
    <col min="5378" max="5378" width="18.44140625" style="51" bestFit="1" customWidth="1"/>
    <col min="5379" max="5382" width="12.44140625" style="51" bestFit="1" customWidth="1"/>
    <col min="5383" max="5383" width="11.6640625" style="51" bestFit="1" customWidth="1"/>
    <col min="5384" max="5632" width="9.109375" style="51"/>
    <col min="5633" max="5633" width="37.33203125" style="51" customWidth="1"/>
    <col min="5634" max="5634" width="18.44140625" style="51" bestFit="1" customWidth="1"/>
    <col min="5635" max="5638" width="12.44140625" style="51" bestFit="1" customWidth="1"/>
    <col min="5639" max="5639" width="11.6640625" style="51" bestFit="1" customWidth="1"/>
    <col min="5640" max="5888" width="9.109375" style="51"/>
    <col min="5889" max="5889" width="37.33203125" style="51" customWidth="1"/>
    <col min="5890" max="5890" width="18.44140625" style="51" bestFit="1" customWidth="1"/>
    <col min="5891" max="5894" width="12.44140625" style="51" bestFit="1" customWidth="1"/>
    <col min="5895" max="5895" width="11.6640625" style="51" bestFit="1" customWidth="1"/>
    <col min="5896" max="6144" width="9.109375" style="51"/>
    <col min="6145" max="6145" width="37.33203125" style="51" customWidth="1"/>
    <col min="6146" max="6146" width="18.44140625" style="51" bestFit="1" customWidth="1"/>
    <col min="6147" max="6150" width="12.44140625" style="51" bestFit="1" customWidth="1"/>
    <col min="6151" max="6151" width="11.6640625" style="51" bestFit="1" customWidth="1"/>
    <col min="6152" max="6400" width="9.109375" style="51"/>
    <col min="6401" max="6401" width="37.33203125" style="51" customWidth="1"/>
    <col min="6402" max="6402" width="18.44140625" style="51" bestFit="1" customWidth="1"/>
    <col min="6403" max="6406" width="12.44140625" style="51" bestFit="1" customWidth="1"/>
    <col min="6407" max="6407" width="11.6640625" style="51" bestFit="1" customWidth="1"/>
    <col min="6408" max="6656" width="9.109375" style="51"/>
    <col min="6657" max="6657" width="37.33203125" style="51" customWidth="1"/>
    <col min="6658" max="6658" width="18.44140625" style="51" bestFit="1" customWidth="1"/>
    <col min="6659" max="6662" width="12.44140625" style="51" bestFit="1" customWidth="1"/>
    <col min="6663" max="6663" width="11.6640625" style="51" bestFit="1" customWidth="1"/>
    <col min="6664" max="6912" width="9.109375" style="51"/>
    <col min="6913" max="6913" width="37.33203125" style="51" customWidth="1"/>
    <col min="6914" max="6914" width="18.44140625" style="51" bestFit="1" customWidth="1"/>
    <col min="6915" max="6918" width="12.44140625" style="51" bestFit="1" customWidth="1"/>
    <col min="6919" max="6919" width="11.6640625" style="51" bestFit="1" customWidth="1"/>
    <col min="6920" max="7168" width="9.109375" style="51"/>
    <col min="7169" max="7169" width="37.33203125" style="51" customWidth="1"/>
    <col min="7170" max="7170" width="18.44140625" style="51" bestFit="1" customWidth="1"/>
    <col min="7171" max="7174" width="12.44140625" style="51" bestFit="1" customWidth="1"/>
    <col min="7175" max="7175" width="11.6640625" style="51" bestFit="1" customWidth="1"/>
    <col min="7176" max="7424" width="9.109375" style="51"/>
    <col min="7425" max="7425" width="37.33203125" style="51" customWidth="1"/>
    <col min="7426" max="7426" width="18.44140625" style="51" bestFit="1" customWidth="1"/>
    <col min="7427" max="7430" width="12.44140625" style="51" bestFit="1" customWidth="1"/>
    <col min="7431" max="7431" width="11.6640625" style="51" bestFit="1" customWidth="1"/>
    <col min="7432" max="7680" width="9.109375" style="51"/>
    <col min="7681" max="7681" width="37.33203125" style="51" customWidth="1"/>
    <col min="7682" max="7682" width="18.44140625" style="51" bestFit="1" customWidth="1"/>
    <col min="7683" max="7686" width="12.44140625" style="51" bestFit="1" customWidth="1"/>
    <col min="7687" max="7687" width="11.6640625" style="51" bestFit="1" customWidth="1"/>
    <col min="7688" max="7936" width="9.109375" style="51"/>
    <col min="7937" max="7937" width="37.33203125" style="51" customWidth="1"/>
    <col min="7938" max="7938" width="18.44140625" style="51" bestFit="1" customWidth="1"/>
    <col min="7939" max="7942" width="12.44140625" style="51" bestFit="1" customWidth="1"/>
    <col min="7943" max="7943" width="11.6640625" style="51" bestFit="1" customWidth="1"/>
    <col min="7944" max="8192" width="9.109375" style="51"/>
    <col min="8193" max="8193" width="37.33203125" style="51" customWidth="1"/>
    <col min="8194" max="8194" width="18.44140625" style="51" bestFit="1" customWidth="1"/>
    <col min="8195" max="8198" width="12.44140625" style="51" bestFit="1" customWidth="1"/>
    <col min="8199" max="8199" width="11.6640625" style="51" bestFit="1" customWidth="1"/>
    <col min="8200" max="8448" width="9.109375" style="51"/>
    <col min="8449" max="8449" width="37.33203125" style="51" customWidth="1"/>
    <col min="8450" max="8450" width="18.44140625" style="51" bestFit="1" customWidth="1"/>
    <col min="8451" max="8454" width="12.44140625" style="51" bestFit="1" customWidth="1"/>
    <col min="8455" max="8455" width="11.6640625" style="51" bestFit="1" customWidth="1"/>
    <col min="8456" max="8704" width="9.109375" style="51"/>
    <col min="8705" max="8705" width="37.33203125" style="51" customWidth="1"/>
    <col min="8706" max="8706" width="18.44140625" style="51" bestFit="1" customWidth="1"/>
    <col min="8707" max="8710" width="12.44140625" style="51" bestFit="1" customWidth="1"/>
    <col min="8711" max="8711" width="11.6640625" style="51" bestFit="1" customWidth="1"/>
    <col min="8712" max="8960" width="9.109375" style="51"/>
    <col min="8961" max="8961" width="37.33203125" style="51" customWidth="1"/>
    <col min="8962" max="8962" width="18.44140625" style="51" bestFit="1" customWidth="1"/>
    <col min="8963" max="8966" width="12.44140625" style="51" bestFit="1" customWidth="1"/>
    <col min="8967" max="8967" width="11.6640625" style="51" bestFit="1" customWidth="1"/>
    <col min="8968" max="9216" width="9.109375" style="51"/>
    <col min="9217" max="9217" width="37.33203125" style="51" customWidth="1"/>
    <col min="9218" max="9218" width="18.44140625" style="51" bestFit="1" customWidth="1"/>
    <col min="9219" max="9222" width="12.44140625" style="51" bestFit="1" customWidth="1"/>
    <col min="9223" max="9223" width="11.6640625" style="51" bestFit="1" customWidth="1"/>
    <col min="9224" max="9472" width="9.109375" style="51"/>
    <col min="9473" max="9473" width="37.33203125" style="51" customWidth="1"/>
    <col min="9474" max="9474" width="18.44140625" style="51" bestFit="1" customWidth="1"/>
    <col min="9475" max="9478" width="12.44140625" style="51" bestFit="1" customWidth="1"/>
    <col min="9479" max="9479" width="11.6640625" style="51" bestFit="1" customWidth="1"/>
    <col min="9480" max="9728" width="9.109375" style="51"/>
    <col min="9729" max="9729" width="37.33203125" style="51" customWidth="1"/>
    <col min="9730" max="9730" width="18.44140625" style="51" bestFit="1" customWidth="1"/>
    <col min="9731" max="9734" width="12.44140625" style="51" bestFit="1" customWidth="1"/>
    <col min="9735" max="9735" width="11.6640625" style="51" bestFit="1" customWidth="1"/>
    <col min="9736" max="9984" width="9.109375" style="51"/>
    <col min="9985" max="9985" width="37.33203125" style="51" customWidth="1"/>
    <col min="9986" max="9986" width="18.44140625" style="51" bestFit="1" customWidth="1"/>
    <col min="9987" max="9990" width="12.44140625" style="51" bestFit="1" customWidth="1"/>
    <col min="9991" max="9991" width="11.6640625" style="51" bestFit="1" customWidth="1"/>
    <col min="9992" max="10240" width="9.109375" style="51"/>
    <col min="10241" max="10241" width="37.33203125" style="51" customWidth="1"/>
    <col min="10242" max="10242" width="18.44140625" style="51" bestFit="1" customWidth="1"/>
    <col min="10243" max="10246" width="12.44140625" style="51" bestFit="1" customWidth="1"/>
    <col min="10247" max="10247" width="11.6640625" style="51" bestFit="1" customWidth="1"/>
    <col min="10248" max="10496" width="9.109375" style="51"/>
    <col min="10497" max="10497" width="37.33203125" style="51" customWidth="1"/>
    <col min="10498" max="10498" width="18.44140625" style="51" bestFit="1" customWidth="1"/>
    <col min="10499" max="10502" width="12.44140625" style="51" bestFit="1" customWidth="1"/>
    <col min="10503" max="10503" width="11.6640625" style="51" bestFit="1" customWidth="1"/>
    <col min="10504" max="10752" width="9.109375" style="51"/>
    <col min="10753" max="10753" width="37.33203125" style="51" customWidth="1"/>
    <col min="10754" max="10754" width="18.44140625" style="51" bestFit="1" customWidth="1"/>
    <col min="10755" max="10758" width="12.44140625" style="51" bestFit="1" customWidth="1"/>
    <col min="10759" max="10759" width="11.6640625" style="51" bestFit="1" customWidth="1"/>
    <col min="10760" max="11008" width="9.109375" style="51"/>
    <col min="11009" max="11009" width="37.33203125" style="51" customWidth="1"/>
    <col min="11010" max="11010" width="18.44140625" style="51" bestFit="1" customWidth="1"/>
    <col min="11011" max="11014" width="12.44140625" style="51" bestFit="1" customWidth="1"/>
    <col min="11015" max="11015" width="11.6640625" style="51" bestFit="1" customWidth="1"/>
    <col min="11016" max="11264" width="9.109375" style="51"/>
    <col min="11265" max="11265" width="37.33203125" style="51" customWidth="1"/>
    <col min="11266" max="11266" width="18.44140625" style="51" bestFit="1" customWidth="1"/>
    <col min="11267" max="11270" width="12.44140625" style="51" bestFit="1" customWidth="1"/>
    <col min="11271" max="11271" width="11.6640625" style="51" bestFit="1" customWidth="1"/>
    <col min="11272" max="11520" width="9.109375" style="51"/>
    <col min="11521" max="11521" width="37.33203125" style="51" customWidth="1"/>
    <col min="11522" max="11522" width="18.44140625" style="51" bestFit="1" customWidth="1"/>
    <col min="11523" max="11526" width="12.44140625" style="51" bestFit="1" customWidth="1"/>
    <col min="11527" max="11527" width="11.6640625" style="51" bestFit="1" customWidth="1"/>
    <col min="11528" max="11776" width="9.109375" style="51"/>
    <col min="11777" max="11777" width="37.33203125" style="51" customWidth="1"/>
    <col min="11778" max="11778" width="18.44140625" style="51" bestFit="1" customWidth="1"/>
    <col min="11779" max="11782" width="12.44140625" style="51" bestFit="1" customWidth="1"/>
    <col min="11783" max="11783" width="11.6640625" style="51" bestFit="1" customWidth="1"/>
    <col min="11784" max="12032" width="9.109375" style="51"/>
    <col min="12033" max="12033" width="37.33203125" style="51" customWidth="1"/>
    <col min="12034" max="12034" width="18.44140625" style="51" bestFit="1" customWidth="1"/>
    <col min="12035" max="12038" width="12.44140625" style="51" bestFit="1" customWidth="1"/>
    <col min="12039" max="12039" width="11.6640625" style="51" bestFit="1" customWidth="1"/>
    <col min="12040" max="12288" width="9.109375" style="51"/>
    <col min="12289" max="12289" width="37.33203125" style="51" customWidth="1"/>
    <col min="12290" max="12290" width="18.44140625" style="51" bestFit="1" customWidth="1"/>
    <col min="12291" max="12294" width="12.44140625" style="51" bestFit="1" customWidth="1"/>
    <col min="12295" max="12295" width="11.6640625" style="51" bestFit="1" customWidth="1"/>
    <col min="12296" max="12544" width="9.109375" style="51"/>
    <col min="12545" max="12545" width="37.33203125" style="51" customWidth="1"/>
    <col min="12546" max="12546" width="18.44140625" style="51" bestFit="1" customWidth="1"/>
    <col min="12547" max="12550" width="12.44140625" style="51" bestFit="1" customWidth="1"/>
    <col min="12551" max="12551" width="11.6640625" style="51" bestFit="1" customWidth="1"/>
    <col min="12552" max="12800" width="9.109375" style="51"/>
    <col min="12801" max="12801" width="37.33203125" style="51" customWidth="1"/>
    <col min="12802" max="12802" width="18.44140625" style="51" bestFit="1" customWidth="1"/>
    <col min="12803" max="12806" width="12.44140625" style="51" bestFit="1" customWidth="1"/>
    <col min="12807" max="12807" width="11.6640625" style="51" bestFit="1" customWidth="1"/>
    <col min="12808" max="13056" width="9.109375" style="51"/>
    <col min="13057" max="13057" width="37.33203125" style="51" customWidth="1"/>
    <col min="13058" max="13058" width="18.44140625" style="51" bestFit="1" customWidth="1"/>
    <col min="13059" max="13062" width="12.44140625" style="51" bestFit="1" customWidth="1"/>
    <col min="13063" max="13063" width="11.6640625" style="51" bestFit="1" customWidth="1"/>
    <col min="13064" max="13312" width="9.109375" style="51"/>
    <col min="13313" max="13313" width="37.33203125" style="51" customWidth="1"/>
    <col min="13314" max="13314" width="18.44140625" style="51" bestFit="1" customWidth="1"/>
    <col min="13315" max="13318" width="12.44140625" style="51" bestFit="1" customWidth="1"/>
    <col min="13319" max="13319" width="11.6640625" style="51" bestFit="1" customWidth="1"/>
    <col min="13320" max="13568" width="9.109375" style="51"/>
    <col min="13569" max="13569" width="37.33203125" style="51" customWidth="1"/>
    <col min="13570" max="13570" width="18.44140625" style="51" bestFit="1" customWidth="1"/>
    <col min="13571" max="13574" width="12.44140625" style="51" bestFit="1" customWidth="1"/>
    <col min="13575" max="13575" width="11.6640625" style="51" bestFit="1" customWidth="1"/>
    <col min="13576" max="13824" width="9.109375" style="51"/>
    <col min="13825" max="13825" width="37.33203125" style="51" customWidth="1"/>
    <col min="13826" max="13826" width="18.44140625" style="51" bestFit="1" customWidth="1"/>
    <col min="13827" max="13830" width="12.44140625" style="51" bestFit="1" customWidth="1"/>
    <col min="13831" max="13831" width="11.6640625" style="51" bestFit="1" customWidth="1"/>
    <col min="13832" max="14080" width="9.109375" style="51"/>
    <col min="14081" max="14081" width="37.33203125" style="51" customWidth="1"/>
    <col min="14082" max="14082" width="18.44140625" style="51" bestFit="1" customWidth="1"/>
    <col min="14083" max="14086" width="12.44140625" style="51" bestFit="1" customWidth="1"/>
    <col min="14087" max="14087" width="11.6640625" style="51" bestFit="1" customWidth="1"/>
    <col min="14088" max="14336" width="9.109375" style="51"/>
    <col min="14337" max="14337" width="37.33203125" style="51" customWidth="1"/>
    <col min="14338" max="14338" width="18.44140625" style="51" bestFit="1" customWidth="1"/>
    <col min="14339" max="14342" width="12.44140625" style="51" bestFit="1" customWidth="1"/>
    <col min="14343" max="14343" width="11.6640625" style="51" bestFit="1" customWidth="1"/>
    <col min="14344" max="14592" width="9.109375" style="51"/>
    <col min="14593" max="14593" width="37.33203125" style="51" customWidth="1"/>
    <col min="14594" max="14594" width="18.44140625" style="51" bestFit="1" customWidth="1"/>
    <col min="14595" max="14598" width="12.44140625" style="51" bestFit="1" customWidth="1"/>
    <col min="14599" max="14599" width="11.6640625" style="51" bestFit="1" customWidth="1"/>
    <col min="14600" max="14848" width="9.109375" style="51"/>
    <col min="14849" max="14849" width="37.33203125" style="51" customWidth="1"/>
    <col min="14850" max="14850" width="18.44140625" style="51" bestFit="1" customWidth="1"/>
    <col min="14851" max="14854" width="12.44140625" style="51" bestFit="1" customWidth="1"/>
    <col min="14855" max="14855" width="11.6640625" style="51" bestFit="1" customWidth="1"/>
    <col min="14856" max="15104" width="9.109375" style="51"/>
    <col min="15105" max="15105" width="37.33203125" style="51" customWidth="1"/>
    <col min="15106" max="15106" width="18.44140625" style="51" bestFit="1" customWidth="1"/>
    <col min="15107" max="15110" width="12.44140625" style="51" bestFit="1" customWidth="1"/>
    <col min="15111" max="15111" width="11.6640625" style="51" bestFit="1" customWidth="1"/>
    <col min="15112" max="15360" width="9.109375" style="51"/>
    <col min="15361" max="15361" width="37.33203125" style="51" customWidth="1"/>
    <col min="15362" max="15362" width="18.44140625" style="51" bestFit="1" customWidth="1"/>
    <col min="15363" max="15366" width="12.44140625" style="51" bestFit="1" customWidth="1"/>
    <col min="15367" max="15367" width="11.6640625" style="51" bestFit="1" customWidth="1"/>
    <col min="15368" max="15616" width="9.109375" style="51"/>
    <col min="15617" max="15617" width="37.33203125" style="51" customWidth="1"/>
    <col min="15618" max="15618" width="18.44140625" style="51" bestFit="1" customWidth="1"/>
    <col min="15619" max="15622" width="12.44140625" style="51" bestFit="1" customWidth="1"/>
    <col min="15623" max="15623" width="11.6640625" style="51" bestFit="1" customWidth="1"/>
    <col min="15624" max="15872" width="9.109375" style="51"/>
    <col min="15873" max="15873" width="37.33203125" style="51" customWidth="1"/>
    <col min="15874" max="15874" width="18.44140625" style="51" bestFit="1" customWidth="1"/>
    <col min="15875" max="15878" width="12.44140625" style="51" bestFit="1" customWidth="1"/>
    <col min="15879" max="15879" width="11.6640625" style="51" bestFit="1" customWidth="1"/>
    <col min="15880" max="16128" width="9.109375" style="51"/>
    <col min="16129" max="16129" width="37.33203125" style="51" customWidth="1"/>
    <col min="16130" max="16130" width="18.44140625" style="51" bestFit="1" customWidth="1"/>
    <col min="16131" max="16134" width="12.44140625" style="51" bestFit="1" customWidth="1"/>
    <col min="16135" max="16135" width="11.6640625" style="51" bestFit="1" customWidth="1"/>
    <col min="16136" max="16384" width="9.109375" style="51"/>
  </cols>
  <sheetData>
    <row r="1" spans="1:18">
      <c r="A1" s="441"/>
      <c r="B1" s="441"/>
      <c r="C1" s="441"/>
      <c r="D1" s="441"/>
      <c r="E1" s="441"/>
      <c r="F1" s="441"/>
    </row>
    <row r="2" spans="1:18" ht="17.399999999999999">
      <c r="A2" s="458" t="s">
        <v>567</v>
      </c>
      <c r="B2" s="426"/>
      <c r="C2" s="426"/>
      <c r="D2" s="426"/>
      <c r="E2" s="426"/>
      <c r="F2" s="426"/>
      <c r="G2" s="426"/>
      <c r="H2" s="426"/>
      <c r="I2" s="82"/>
    </row>
    <row r="3" spans="1:18">
      <c r="A3" s="83"/>
      <c r="B3" s="53"/>
      <c r="C3" s="53"/>
      <c r="D3" s="53"/>
      <c r="E3" s="53"/>
      <c r="F3" s="53"/>
    </row>
    <row r="4" spans="1:18">
      <c r="A4" s="116" t="s">
        <v>0</v>
      </c>
      <c r="B4" s="117" t="s">
        <v>2</v>
      </c>
      <c r="C4" s="117" t="s">
        <v>3</v>
      </c>
      <c r="D4" s="117" t="s">
        <v>4</v>
      </c>
      <c r="E4" s="117" t="s">
        <v>5</v>
      </c>
      <c r="F4" s="117" t="s">
        <v>6</v>
      </c>
      <c r="G4" s="118" t="s">
        <v>170</v>
      </c>
      <c r="H4" s="118" t="s">
        <v>169</v>
      </c>
    </row>
    <row r="5" spans="1:18" s="52" customFormat="1">
      <c r="A5" s="119"/>
      <c r="B5" s="120"/>
      <c r="C5" s="121"/>
      <c r="D5" s="121"/>
      <c r="E5" s="121"/>
      <c r="F5" s="121"/>
      <c r="G5" s="121"/>
      <c r="H5" s="121"/>
    </row>
    <row r="6" spans="1:18">
      <c r="A6" s="122" t="s">
        <v>49</v>
      </c>
      <c r="B6" s="123"/>
      <c r="C6" s="123"/>
      <c r="D6" s="123"/>
      <c r="E6" s="123"/>
      <c r="F6" s="123"/>
      <c r="G6" s="123"/>
      <c r="H6" s="123"/>
    </row>
    <row r="7" spans="1:18">
      <c r="A7" s="124" t="s">
        <v>50</v>
      </c>
      <c r="B7" s="125"/>
      <c r="C7" s="125"/>
      <c r="D7" s="125"/>
      <c r="E7" s="125"/>
      <c r="F7" s="125"/>
      <c r="G7" s="125"/>
      <c r="H7" s="125"/>
    </row>
    <row r="8" spans="1:18">
      <c r="A8" s="126" t="s">
        <v>250</v>
      </c>
      <c r="B8" s="127">
        <f>'8.Cash Flow '!C34</f>
        <v>1143815.3841670752</v>
      </c>
      <c r="C8" s="127">
        <f>'8.Cash Flow '!D34</f>
        <v>2541387.5759389699</v>
      </c>
      <c r="D8" s="127">
        <f>'8.Cash Flow '!E34</f>
        <v>3239378.2541310787</v>
      </c>
      <c r="E8" s="127">
        <f>'8.Cash Flow '!F34</f>
        <v>4320958.988720566</v>
      </c>
      <c r="F8" s="127">
        <f>'8.Cash Flow '!G34</f>
        <v>5789908.5149396062</v>
      </c>
      <c r="G8" s="127">
        <f>'8.Cash Flow '!H34</f>
        <v>7448607.4719574749</v>
      </c>
      <c r="H8" s="127">
        <f>'8.Cash Flow '!I34</f>
        <v>9313373.3443453014</v>
      </c>
      <c r="K8" s="66"/>
      <c r="L8" s="66"/>
      <c r="M8" s="66"/>
      <c r="N8" s="66"/>
      <c r="O8" s="66"/>
      <c r="P8" s="66"/>
      <c r="Q8" s="66"/>
      <c r="R8" s="66"/>
    </row>
    <row r="9" spans="1:18">
      <c r="A9" s="128" t="s">
        <v>251</v>
      </c>
      <c r="B9" s="129">
        <f>'5.Closing Stock &amp; W Capital'!E41</f>
        <v>4428948.5684876265</v>
      </c>
      <c r="C9" s="129">
        <f>'5.Closing Stock &amp; W Capital'!F41</f>
        <v>5268848.9377176715</v>
      </c>
      <c r="D9" s="129">
        <f>'5.Closing Stock &amp; W Capital'!G41</f>
        <v>6129503.1640224727</v>
      </c>
      <c r="E9" s="129">
        <f>'5.Closing Stock &amp; W Capital'!H41</f>
        <v>7063050.6906134561</v>
      </c>
      <c r="F9" s="129">
        <f>'5.Closing Stock &amp; W Capital'!I41</f>
        <v>8074629.2119534863</v>
      </c>
      <c r="G9" s="129">
        <f>'5.Closing Stock &amp; W Capital'!J41</f>
        <v>9163099.2678705044</v>
      </c>
      <c r="H9" s="129">
        <f>'5.Closing Stock &amp; W Capital'!K41</f>
        <v>10340229.756349338</v>
      </c>
      <c r="K9" s="66"/>
      <c r="L9" s="66"/>
      <c r="M9" s="66"/>
      <c r="N9" s="66"/>
      <c r="O9" s="66"/>
      <c r="P9" s="66"/>
      <c r="Q9" s="66"/>
      <c r="R9" s="66"/>
    </row>
    <row r="10" spans="1:18">
      <c r="A10" s="128" t="s">
        <v>606</v>
      </c>
      <c r="B10" s="129">
        <f>'5.Closing Stock &amp; W Capital'!E21</f>
        <v>1382952.4967232</v>
      </c>
      <c r="C10" s="129">
        <f>'5.Closing Stock &amp; W Capital'!F21</f>
        <v>1633680.3223792801</v>
      </c>
      <c r="D10" s="129">
        <f>'5.Closing Stock &amp; W Capital'!G21</f>
        <v>1905909.8375091604</v>
      </c>
      <c r="E10" s="129">
        <f>'5.Closing Stock &amp; W Capital'!H21</f>
        <v>2201397.5007885802</v>
      </c>
      <c r="F10" s="129">
        <f>'5.Closing Stock &amp; W Capital'!I21</f>
        <v>2521543.7884875447</v>
      </c>
      <c r="G10" s="129">
        <f>'5.Closing Stock &amp; W Capital'!J21</f>
        <v>2868201.2112044338</v>
      </c>
      <c r="H10" s="129">
        <f>'5.Closing Stock &amp; W Capital'!K21</f>
        <v>3243358.7341861669</v>
      </c>
      <c r="K10" s="66"/>
      <c r="L10" s="66"/>
      <c r="M10" s="66"/>
      <c r="N10" s="66"/>
      <c r="O10" s="66"/>
      <c r="P10" s="66"/>
      <c r="Q10" s="66"/>
      <c r="R10" s="66"/>
    </row>
    <row r="11" spans="1:18">
      <c r="A11" s="124" t="s">
        <v>252</v>
      </c>
      <c r="B11" s="127">
        <f t="shared" ref="B11:H11" si="0">SUM(B8:B10)</f>
        <v>6955716.4493779019</v>
      </c>
      <c r="C11" s="127">
        <f t="shared" si="0"/>
        <v>9443916.8360359222</v>
      </c>
      <c r="D11" s="127">
        <f t="shared" si="0"/>
        <v>11274791.255662711</v>
      </c>
      <c r="E11" s="127">
        <f t="shared" si="0"/>
        <v>13585407.180122603</v>
      </c>
      <c r="F11" s="127">
        <f t="shared" si="0"/>
        <v>16386081.515380638</v>
      </c>
      <c r="G11" s="127">
        <f t="shared" si="0"/>
        <v>19479907.951032415</v>
      </c>
      <c r="H11" s="127">
        <f t="shared" si="0"/>
        <v>22896961.834880807</v>
      </c>
    </row>
    <row r="12" spans="1:18">
      <c r="A12" s="124"/>
      <c r="B12" s="129"/>
      <c r="C12" s="129"/>
      <c r="D12" s="129"/>
      <c r="E12" s="129"/>
      <c r="F12" s="129"/>
      <c r="G12" s="129"/>
      <c r="H12" s="129"/>
      <c r="J12" s="66"/>
      <c r="K12" s="66"/>
      <c r="L12" s="66"/>
      <c r="M12" s="66"/>
      <c r="N12" s="66"/>
      <c r="O12" s="66"/>
      <c r="P12" s="66"/>
      <c r="Q12" s="66"/>
    </row>
    <row r="13" spans="1:18">
      <c r="A13" s="130" t="s">
        <v>253</v>
      </c>
      <c r="B13" s="129">
        <f>'3.Other Exp &amp; Taxes'!C66</f>
        <v>27086798</v>
      </c>
      <c r="C13" s="129">
        <f>'3.Other Exp &amp; Taxes'!D66</f>
        <v>25928855.090599999</v>
      </c>
      <c r="D13" s="129">
        <f>'3.Other Exp &amp; Taxes'!E66</f>
        <v>24770912.181199998</v>
      </c>
      <c r="E13" s="129">
        <f>'3.Other Exp &amp; Taxes'!F66</f>
        <v>23612969.271799996</v>
      </c>
      <c r="F13" s="129">
        <f>'3.Other Exp &amp; Taxes'!G66</f>
        <v>22455026.362399999</v>
      </c>
      <c r="G13" s="129">
        <f>'3.Other Exp &amp; Taxes'!H66</f>
        <v>21297083.453000002</v>
      </c>
      <c r="H13" s="129">
        <f>'3.Other Exp &amp; Taxes'!I66</f>
        <v>20139140.5436</v>
      </c>
    </row>
    <row r="14" spans="1:18">
      <c r="A14" s="130" t="s">
        <v>254</v>
      </c>
      <c r="B14" s="129">
        <f>'3.Other Exp &amp; Taxes'!C67</f>
        <v>1157942.9093999998</v>
      </c>
      <c r="C14" s="129">
        <f>'3.Other Exp &amp; Taxes'!D67</f>
        <v>1157942.9093999998</v>
      </c>
      <c r="D14" s="129">
        <f>'3.Other Exp &amp; Taxes'!E67</f>
        <v>1157942.9093999998</v>
      </c>
      <c r="E14" s="129">
        <f>'3.Other Exp &amp; Taxes'!F67</f>
        <v>1157942.9093999998</v>
      </c>
      <c r="F14" s="129">
        <f>'3.Other Exp &amp; Taxes'!G67</f>
        <v>1157942.9093999998</v>
      </c>
      <c r="G14" s="129">
        <f>'3.Other Exp &amp; Taxes'!H67</f>
        <v>1157942.9093999998</v>
      </c>
      <c r="H14" s="129">
        <f>'3.Other Exp &amp; Taxes'!I67</f>
        <v>1157942.9093999998</v>
      </c>
      <c r="K14" s="66"/>
      <c r="L14" s="66"/>
      <c r="M14" s="66"/>
      <c r="N14" s="66"/>
      <c r="O14" s="66"/>
      <c r="P14" s="66"/>
      <c r="Q14" s="66"/>
    </row>
    <row r="15" spans="1:18" s="53" customFormat="1">
      <c r="A15" s="124" t="s">
        <v>200</v>
      </c>
      <c r="B15" s="127">
        <f t="shared" ref="B15:H15" si="1">B13-B14</f>
        <v>25928855.090599999</v>
      </c>
      <c r="C15" s="127">
        <f t="shared" si="1"/>
        <v>24770912.181199998</v>
      </c>
      <c r="D15" s="127">
        <f t="shared" si="1"/>
        <v>23612969.271799996</v>
      </c>
      <c r="E15" s="127">
        <f t="shared" si="1"/>
        <v>22455026.362399995</v>
      </c>
      <c r="F15" s="127">
        <f t="shared" si="1"/>
        <v>21297083.452999998</v>
      </c>
      <c r="G15" s="127">
        <f t="shared" si="1"/>
        <v>20139140.5436</v>
      </c>
      <c r="H15" s="127">
        <f t="shared" si="1"/>
        <v>18981197.634199999</v>
      </c>
    </row>
    <row r="16" spans="1:18" s="53" customFormat="1">
      <c r="A16" s="124"/>
      <c r="B16" s="127"/>
      <c r="C16" s="127"/>
      <c r="D16" s="127"/>
      <c r="E16" s="127"/>
      <c r="F16" s="127"/>
      <c r="G16" s="127"/>
      <c r="H16" s="127"/>
    </row>
    <row r="17" spans="1:8" s="53" customFormat="1">
      <c r="A17" s="131"/>
      <c r="B17" s="127"/>
      <c r="C17" s="127"/>
      <c r="D17" s="127"/>
      <c r="E17" s="127"/>
      <c r="F17" s="127"/>
      <c r="G17" s="127"/>
      <c r="H17" s="127"/>
    </row>
    <row r="18" spans="1:8" s="53" customFormat="1">
      <c r="A18" s="124" t="s">
        <v>518</v>
      </c>
      <c r="B18" s="127">
        <f>'8.Cash Flow '!C20-'6.Cons Profit &amp; Loss'!B43</f>
        <v>771120</v>
      </c>
      <c r="C18" s="127">
        <f>B18-'6.Cons Profit &amp; Loss'!C43</f>
        <v>578340</v>
      </c>
      <c r="D18" s="127">
        <f>C18-'6.Cons Profit &amp; Loss'!D43</f>
        <v>385560</v>
      </c>
      <c r="E18" s="127">
        <f>D18-'6.Cons Profit &amp; Loss'!E43</f>
        <v>192780</v>
      </c>
      <c r="F18" s="127">
        <f>E18-'6.Cons Profit &amp; Loss'!F43</f>
        <v>0</v>
      </c>
      <c r="G18" s="127">
        <f>F18-'6.Cons Profit &amp; Loss'!G43</f>
        <v>0</v>
      </c>
      <c r="H18" s="127">
        <f>G18-'6.Cons Profit &amp; Loss'!H43</f>
        <v>0</v>
      </c>
    </row>
    <row r="19" spans="1:8">
      <c r="A19" s="130"/>
      <c r="B19" s="129"/>
      <c r="C19" s="129"/>
      <c r="D19" s="129"/>
      <c r="E19" s="129"/>
      <c r="F19" s="129"/>
      <c r="G19" s="129"/>
      <c r="H19" s="129"/>
    </row>
    <row r="20" spans="1:8">
      <c r="A20" s="131" t="s">
        <v>256</v>
      </c>
      <c r="B20" s="132">
        <f t="shared" ref="B20:H20" si="2">B11+B15+B17+B18</f>
        <v>33655691.539977901</v>
      </c>
      <c r="C20" s="132">
        <f t="shared" si="2"/>
        <v>34793169.01723592</v>
      </c>
      <c r="D20" s="132">
        <f t="shared" si="2"/>
        <v>35273320.527462706</v>
      </c>
      <c r="E20" s="132">
        <f t="shared" si="2"/>
        <v>36233213.542522594</v>
      </c>
      <c r="F20" s="132">
        <f t="shared" si="2"/>
        <v>37683164.968380637</v>
      </c>
      <c r="G20" s="132">
        <f t="shared" si="2"/>
        <v>39619048.494632415</v>
      </c>
      <c r="H20" s="132">
        <f t="shared" si="2"/>
        <v>41878159.469080806</v>
      </c>
    </row>
    <row r="21" spans="1:8">
      <c r="A21" s="119"/>
      <c r="B21" s="133"/>
      <c r="C21" s="133"/>
      <c r="D21" s="133"/>
      <c r="E21" s="133"/>
      <c r="F21" s="133"/>
      <c r="G21" s="133"/>
      <c r="H21" s="133"/>
    </row>
    <row r="22" spans="1:8">
      <c r="A22" s="122" t="s">
        <v>257</v>
      </c>
      <c r="B22" s="134"/>
      <c r="C22" s="134"/>
      <c r="D22" s="134"/>
      <c r="E22" s="134"/>
      <c r="F22" s="134"/>
      <c r="G22" s="134"/>
      <c r="H22" s="134"/>
    </row>
    <row r="23" spans="1:8">
      <c r="A23" s="124" t="s">
        <v>258</v>
      </c>
      <c r="B23" s="134"/>
      <c r="C23" s="134"/>
      <c r="D23" s="134"/>
      <c r="E23" s="134"/>
      <c r="F23" s="134"/>
      <c r="G23" s="134"/>
      <c r="H23" s="134"/>
    </row>
    <row r="24" spans="1:8">
      <c r="A24" s="128" t="s">
        <v>259</v>
      </c>
      <c r="B24" s="127">
        <f>'5.Closing Stock &amp; W Capital'!E57</f>
        <v>3095264.3841014262</v>
      </c>
      <c r="C24" s="127">
        <f>'5.Closing Stock &amp; W Capital'!F57</f>
        <v>4893822.5851911008</v>
      </c>
      <c r="D24" s="127">
        <f>'5.Closing Stock &amp; W Capital'!G57</f>
        <v>5695214.7870142711</v>
      </c>
      <c r="E24" s="127">
        <f>'5.Closing Stock &amp; W Capital'!H57</f>
        <v>6564521.029890161</v>
      </c>
      <c r="F24" s="127">
        <f>'5.Closing Stock &amp; W Capital'!I57</f>
        <v>7506510.0138860559</v>
      </c>
      <c r="G24" s="127">
        <f>'5.Closing Stock &amp; W Capital'!J57</f>
        <v>8519680.307180997</v>
      </c>
      <c r="H24" s="127">
        <f>'5.Closing Stock &amp; W Capital'!K57</f>
        <v>9615409.6856863759</v>
      </c>
    </row>
    <row r="25" spans="1:8">
      <c r="A25" s="128" t="s">
        <v>260</v>
      </c>
      <c r="B25" s="133">
        <f>'5.Closing Stock &amp; W Capital'!E54</f>
        <v>1684881.8864089248</v>
      </c>
      <c r="C25" s="133">
        <f>'5.Closing Stock &amp; W Capital'!F54</f>
        <v>2008706.6749058508</v>
      </c>
      <c r="D25" s="133">
        <f>'5.Closing Stock &amp; W Capital'!G54</f>
        <v>2340198.2145173615</v>
      </c>
      <c r="E25" s="133">
        <f>'5.Closing Stock &amp; W Capital'!H54</f>
        <v>2699927.1615118752</v>
      </c>
      <c r="F25" s="133">
        <f>'5.Closing Stock &amp; W Capital'!I54</f>
        <v>3089662.9865549756</v>
      </c>
      <c r="G25" s="133">
        <f>'5.Closing Stock &amp; W Capital'!J54</f>
        <v>3511620.1718939412</v>
      </c>
      <c r="H25" s="133">
        <f>'5.Closing Stock &amp; W Capital'!K54</f>
        <v>3968178.8048491292</v>
      </c>
    </row>
    <row r="26" spans="1:8" s="52" customFormat="1">
      <c r="A26" s="128" t="s">
        <v>261</v>
      </c>
      <c r="B26" s="127"/>
      <c r="C26" s="127"/>
      <c r="D26" s="127"/>
      <c r="E26" s="127"/>
      <c r="F26" s="127"/>
      <c r="G26" s="127"/>
      <c r="H26" s="127"/>
    </row>
    <row r="27" spans="1:8" s="52" customFormat="1">
      <c r="A27" s="124" t="s">
        <v>262</v>
      </c>
      <c r="B27" s="132">
        <f t="shared" ref="B27:H27" si="3">SUM(B24:B26)</f>
        <v>4780146.2705103513</v>
      </c>
      <c r="C27" s="132">
        <f t="shared" si="3"/>
        <v>6902529.2600969514</v>
      </c>
      <c r="D27" s="132">
        <f t="shared" si="3"/>
        <v>8035413.0015316326</v>
      </c>
      <c r="E27" s="132">
        <f t="shared" si="3"/>
        <v>9264448.1914020367</v>
      </c>
      <c r="F27" s="132">
        <f t="shared" si="3"/>
        <v>10596173.000441032</v>
      </c>
      <c r="G27" s="132">
        <f t="shared" si="3"/>
        <v>12031300.479074938</v>
      </c>
      <c r="H27" s="132">
        <f t="shared" si="3"/>
        <v>13583588.490535505</v>
      </c>
    </row>
    <row r="28" spans="1:8" s="52" customFormat="1">
      <c r="A28" s="124" t="s">
        <v>263</v>
      </c>
      <c r="B28" s="132">
        <f>'4.TL repayment sch'!G21</f>
        <v>9817744.2999999989</v>
      </c>
      <c r="C28" s="132">
        <f>'4.TL repayment sch'!G33</f>
        <v>8628615.7213763073</v>
      </c>
      <c r="D28" s="132">
        <f>'4.TL repayment sch'!G45</f>
        <v>7288675.8749378817</v>
      </c>
      <c r="E28" s="132">
        <f>'4.TL repayment sch'!G57</f>
        <v>5778798.1170998737</v>
      </c>
      <c r="F28" s="132">
        <f>'4.TL repayment sch'!G69</f>
        <v>4077430.0671284692</v>
      </c>
      <c r="G28" s="132">
        <f>'4.TL repayment sch'!G81</f>
        <v>2160285.9629538725</v>
      </c>
      <c r="H28" s="132">
        <f>'[1]Term Loan'!J72+'[1]Term Loan'!S72</f>
        <v>0</v>
      </c>
    </row>
    <row r="29" spans="1:8" s="52" customFormat="1">
      <c r="A29" s="124" t="s">
        <v>264</v>
      </c>
      <c r="B29" s="132"/>
      <c r="C29" s="132"/>
      <c r="D29" s="132"/>
      <c r="E29" s="132"/>
      <c r="F29" s="132"/>
      <c r="G29" s="132"/>
      <c r="H29" s="132"/>
    </row>
    <row r="30" spans="1:8" s="52" customFormat="1">
      <c r="A30" s="124"/>
      <c r="B30" s="135"/>
      <c r="C30" s="135"/>
      <c r="D30" s="135"/>
      <c r="E30" s="135"/>
      <c r="F30" s="135"/>
      <c r="G30" s="135"/>
      <c r="H30" s="135"/>
    </row>
    <row r="31" spans="1:8">
      <c r="A31" s="131" t="s">
        <v>265</v>
      </c>
      <c r="B31" s="132">
        <f t="shared" ref="B31:H31" si="4">SUM(B27:B29)</f>
        <v>14597890.57051035</v>
      </c>
      <c r="C31" s="132">
        <f t="shared" si="4"/>
        <v>15531144.98147326</v>
      </c>
      <c r="D31" s="132">
        <f t="shared" si="4"/>
        <v>15324088.876469515</v>
      </c>
      <c r="E31" s="132">
        <f t="shared" si="4"/>
        <v>15043246.30850191</v>
      </c>
      <c r="F31" s="132">
        <f t="shared" si="4"/>
        <v>14673603.067569502</v>
      </c>
      <c r="G31" s="132">
        <f t="shared" si="4"/>
        <v>14191586.442028811</v>
      </c>
      <c r="H31" s="132">
        <f t="shared" si="4"/>
        <v>13583588.490535505</v>
      </c>
    </row>
    <row r="32" spans="1:8">
      <c r="A32" s="119"/>
      <c r="B32" s="136"/>
      <c r="C32" s="136"/>
      <c r="D32" s="136"/>
      <c r="E32" s="136"/>
      <c r="F32" s="136"/>
      <c r="G32" s="136"/>
      <c r="H32" s="136"/>
    </row>
    <row r="33" spans="1:8">
      <c r="A33" s="130" t="s">
        <v>266</v>
      </c>
      <c r="B33" s="129">
        <f>'1.Project Cost and MOF'!E21</f>
        <v>2434289.6947004739</v>
      </c>
      <c r="C33" s="129">
        <f>B33</f>
        <v>2434289.6947004739</v>
      </c>
      <c r="D33" s="129">
        <f t="shared" ref="D33:H34" si="5">C33</f>
        <v>2434289.6947004739</v>
      </c>
      <c r="E33" s="129">
        <f t="shared" si="5"/>
        <v>2434289.6947004739</v>
      </c>
      <c r="F33" s="129">
        <f t="shared" si="5"/>
        <v>2434289.6947004739</v>
      </c>
      <c r="G33" s="129">
        <f t="shared" si="5"/>
        <v>2434289.6947004739</v>
      </c>
      <c r="H33" s="129">
        <f t="shared" si="5"/>
        <v>2434289.6947004739</v>
      </c>
    </row>
    <row r="34" spans="1:8">
      <c r="A34" s="130" t="s">
        <v>519</v>
      </c>
      <c r="B34" s="129">
        <f>'1.Project Cost and MOF'!E19</f>
        <v>16830418.800000001</v>
      </c>
      <c r="C34" s="129">
        <f>B34</f>
        <v>16830418.800000001</v>
      </c>
      <c r="D34" s="129">
        <f t="shared" si="5"/>
        <v>16830418.800000001</v>
      </c>
      <c r="E34" s="129">
        <f t="shared" si="5"/>
        <v>16830418.800000001</v>
      </c>
      <c r="F34" s="129">
        <f t="shared" si="5"/>
        <v>16830418.800000001</v>
      </c>
      <c r="G34" s="129">
        <f t="shared" si="5"/>
        <v>16830418.800000001</v>
      </c>
      <c r="H34" s="129">
        <f t="shared" si="5"/>
        <v>16830418.800000001</v>
      </c>
    </row>
    <row r="35" spans="1:8">
      <c r="A35" s="124" t="s">
        <v>267</v>
      </c>
      <c r="B35" s="129"/>
      <c r="C35" s="129"/>
      <c r="D35" s="129"/>
      <c r="E35" s="129"/>
      <c r="F35" s="129"/>
      <c r="G35" s="129"/>
      <c r="H35" s="129"/>
    </row>
    <row r="36" spans="1:8">
      <c r="A36" s="130" t="s">
        <v>268</v>
      </c>
      <c r="B36" s="129">
        <v>0</v>
      </c>
      <c r="C36" s="129">
        <f t="shared" ref="C36:H36" si="6">B39</f>
        <v>-206907.52523295116</v>
      </c>
      <c r="D36" s="129">
        <f t="shared" si="6"/>
        <v>-2684.4589378512464</v>
      </c>
      <c r="E36" s="129">
        <f t="shared" si="6"/>
        <v>684523.15629271069</v>
      </c>
      <c r="F36" s="129">
        <f t="shared" si="6"/>
        <v>1925258.7393201857</v>
      </c>
      <c r="G36" s="129">
        <f t="shared" si="6"/>
        <v>3744853.4061106183</v>
      </c>
      <c r="H36" s="129">
        <f t="shared" si="6"/>
        <v>6162753.5579030793</v>
      </c>
    </row>
    <row r="37" spans="1:8">
      <c r="A37" s="130" t="s">
        <v>269</v>
      </c>
      <c r="B37" s="129">
        <f>'6.Cons Profit &amp; Loss'!B53</f>
        <v>-206907.52523295116</v>
      </c>
      <c r="C37" s="129">
        <f>'6.Cons Profit &amp; Loss'!C51</f>
        <v>204223.06629509991</v>
      </c>
      <c r="D37" s="129">
        <f>'6.Cons Profit &amp; Loss'!D51</f>
        <v>687207.61523056193</v>
      </c>
      <c r="E37" s="129">
        <f>'6.Cons Profit &amp; Loss'!E51</f>
        <v>1240735.583027475</v>
      </c>
      <c r="F37" s="129">
        <f>'6.Cons Profit &amp; Loss'!F51</f>
        <v>1819594.6667904323</v>
      </c>
      <c r="G37" s="129">
        <f>'6.Cons Profit &amp; Loss'!G51</f>
        <v>2417900.1517924615</v>
      </c>
      <c r="H37" s="129">
        <f>'6.Cons Profit &amp; Loss'!H51</f>
        <v>2867108.9259416424</v>
      </c>
    </row>
    <row r="38" spans="1:8">
      <c r="A38" s="130" t="s">
        <v>270</v>
      </c>
      <c r="B38" s="129"/>
      <c r="C38" s="129"/>
      <c r="D38" s="129"/>
      <c r="E38" s="129"/>
      <c r="F38" s="129"/>
      <c r="G38" s="129"/>
      <c r="H38" s="129"/>
    </row>
    <row r="39" spans="1:8">
      <c r="A39" s="130" t="s">
        <v>271</v>
      </c>
      <c r="B39" s="129">
        <f t="shared" ref="B39:H39" si="7">B36+B37-B38</f>
        <v>-206907.52523295116</v>
      </c>
      <c r="C39" s="129">
        <f t="shared" si="7"/>
        <v>-2684.4589378512464</v>
      </c>
      <c r="D39" s="129">
        <f t="shared" si="7"/>
        <v>684523.15629271069</v>
      </c>
      <c r="E39" s="129">
        <f t="shared" si="7"/>
        <v>1925258.7393201857</v>
      </c>
      <c r="F39" s="129">
        <f t="shared" si="7"/>
        <v>3744853.4061106183</v>
      </c>
      <c r="G39" s="129">
        <f t="shared" si="7"/>
        <v>6162753.5579030793</v>
      </c>
      <c r="H39" s="129">
        <f t="shared" si="7"/>
        <v>9029862.4838447217</v>
      </c>
    </row>
    <row r="40" spans="1:8">
      <c r="A40" s="130"/>
      <c r="B40" s="134"/>
      <c r="C40" s="134"/>
      <c r="D40" s="134"/>
      <c r="E40" s="134"/>
      <c r="F40" s="134"/>
      <c r="G40" s="134"/>
      <c r="H40" s="134"/>
    </row>
    <row r="41" spans="1:8">
      <c r="A41" s="137" t="s">
        <v>272</v>
      </c>
      <c r="B41" s="138">
        <f t="shared" ref="B41:H41" si="8">B33+B39+B34</f>
        <v>19057800.969467524</v>
      </c>
      <c r="C41" s="138">
        <f t="shared" si="8"/>
        <v>19262024.035762623</v>
      </c>
      <c r="D41" s="138">
        <f t="shared" si="8"/>
        <v>19949231.650993183</v>
      </c>
      <c r="E41" s="138">
        <f t="shared" si="8"/>
        <v>21189967.234020662</v>
      </c>
      <c r="F41" s="138">
        <f t="shared" si="8"/>
        <v>23009561.900811091</v>
      </c>
      <c r="G41" s="138">
        <f t="shared" si="8"/>
        <v>25427462.052603554</v>
      </c>
      <c r="H41" s="138">
        <f t="shared" si="8"/>
        <v>28294570.978545196</v>
      </c>
    </row>
    <row r="42" spans="1:8">
      <c r="A42" s="119"/>
      <c r="B42" s="129"/>
      <c r="C42" s="129"/>
      <c r="D42" s="129"/>
      <c r="E42" s="129"/>
      <c r="F42" s="129"/>
      <c r="G42" s="129"/>
      <c r="H42" s="129"/>
    </row>
    <row r="43" spans="1:8">
      <c r="A43" s="131" t="s">
        <v>273</v>
      </c>
      <c r="B43" s="132">
        <f t="shared" ref="B43:H43" si="9">B31+B41</f>
        <v>33655691.539977878</v>
      </c>
      <c r="C43" s="132">
        <f t="shared" si="9"/>
        <v>34793169.017235883</v>
      </c>
      <c r="D43" s="132">
        <f t="shared" si="9"/>
        <v>35273320.527462699</v>
      </c>
      <c r="E43" s="132">
        <f t="shared" si="9"/>
        <v>36233213.542522572</v>
      </c>
      <c r="F43" s="132">
        <f t="shared" si="9"/>
        <v>37683164.968380593</v>
      </c>
      <c r="G43" s="132">
        <f t="shared" si="9"/>
        <v>39619048.494632363</v>
      </c>
      <c r="H43" s="132">
        <f t="shared" si="9"/>
        <v>41878159.469080701</v>
      </c>
    </row>
    <row r="44" spans="1:8">
      <c r="A44" s="119"/>
      <c r="B44" s="139"/>
      <c r="C44" s="139"/>
      <c r="D44" s="139"/>
      <c r="E44" s="139"/>
      <c r="F44" s="139"/>
      <c r="G44" s="139"/>
      <c r="H44" s="139"/>
    </row>
    <row r="45" spans="1:8">
      <c r="A45" s="140" t="s">
        <v>274</v>
      </c>
      <c r="B45" s="141"/>
      <c r="C45" s="141"/>
      <c r="D45" s="141"/>
      <c r="E45" s="141"/>
      <c r="F45" s="141"/>
      <c r="G45" s="141"/>
      <c r="H45" s="141"/>
    </row>
    <row r="46" spans="1:8">
      <c r="A46" s="142" t="s">
        <v>275</v>
      </c>
      <c r="B46" s="143">
        <f t="shared" ref="B46:H46" si="10">B43-B20</f>
        <v>0</v>
      </c>
      <c r="C46" s="143">
        <f t="shared" si="10"/>
        <v>0</v>
      </c>
      <c r="D46" s="143">
        <f t="shared" si="10"/>
        <v>0</v>
      </c>
      <c r="E46" s="143">
        <f t="shared" si="10"/>
        <v>0</v>
      </c>
      <c r="F46" s="143">
        <f t="shared" si="10"/>
        <v>0</v>
      </c>
      <c r="G46" s="143">
        <f t="shared" si="10"/>
        <v>0</v>
      </c>
      <c r="H46" s="143">
        <f t="shared" si="10"/>
        <v>-1.0430812835693359E-7</v>
      </c>
    </row>
    <row r="47" spans="1:8">
      <c r="A47" s="142"/>
      <c r="B47" s="143"/>
      <c r="C47" s="143"/>
      <c r="D47" s="143"/>
      <c r="E47" s="143"/>
      <c r="F47" s="143"/>
      <c r="G47" s="143"/>
      <c r="H47" s="143"/>
    </row>
    <row r="48" spans="1:8" ht="15" thickBot="1">
      <c r="A48" s="144"/>
      <c r="B48" s="145"/>
      <c r="C48" s="145"/>
      <c r="D48" s="145"/>
      <c r="E48" s="145"/>
      <c r="F48" s="145"/>
      <c r="G48" s="145"/>
      <c r="H48" s="145"/>
    </row>
    <row r="49" spans="1:9">
      <c r="B49" s="54"/>
      <c r="C49" s="54"/>
      <c r="D49" s="54"/>
      <c r="E49" s="54"/>
      <c r="F49" s="54"/>
      <c r="G49" s="54"/>
      <c r="H49" s="54"/>
    </row>
    <row r="50" spans="1:9" ht="39.6" customHeight="1">
      <c r="A50" s="459" t="s">
        <v>415</v>
      </c>
      <c r="B50" s="460"/>
      <c r="C50" s="460"/>
      <c r="D50" s="460"/>
      <c r="E50" s="460"/>
      <c r="F50" s="460"/>
      <c r="G50" s="460"/>
      <c r="H50" s="460"/>
      <c r="I50" s="460"/>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topLeftCell="A37" zoomScale="145" zoomScaleNormal="145" zoomScaleSheetLayoutView="80" workbookViewId="0">
      <selection activeCell="B5" sqref="B5"/>
    </sheetView>
  </sheetViews>
  <sheetFormatPr defaultRowHeight="14.4"/>
  <cols>
    <col min="1" max="1" width="3.5546875" bestFit="1" customWidth="1"/>
    <col min="2" max="2" width="32.33203125" bestFit="1" customWidth="1"/>
    <col min="3" max="9" width="14.33203125" bestFit="1" customWidth="1"/>
  </cols>
  <sheetData>
    <row r="1" spans="1:10">
      <c r="A1" s="441"/>
      <c r="B1" s="441"/>
      <c r="C1" s="441"/>
      <c r="D1" s="441"/>
      <c r="E1" s="441"/>
      <c r="F1" s="441"/>
      <c r="G1" s="441"/>
    </row>
    <row r="2" spans="1:10" ht="17.399999999999999">
      <c r="A2" s="426" t="s">
        <v>568</v>
      </c>
      <c r="B2" s="426"/>
      <c r="C2" s="426"/>
      <c r="D2" s="426"/>
      <c r="E2" s="426"/>
      <c r="F2" s="426"/>
      <c r="G2" s="426"/>
      <c r="H2" s="426"/>
      <c r="I2" s="426"/>
      <c r="J2" s="82"/>
    </row>
    <row r="4" spans="1:10">
      <c r="A4" s="56" t="s">
        <v>231</v>
      </c>
      <c r="B4" s="56" t="s">
        <v>0</v>
      </c>
      <c r="C4" s="57" t="s">
        <v>2</v>
      </c>
      <c r="D4" s="57" t="s">
        <v>3</v>
      </c>
      <c r="E4" s="57" t="s">
        <v>4</v>
      </c>
      <c r="F4" s="57" t="s">
        <v>5</v>
      </c>
      <c r="G4" s="57" t="s">
        <v>6</v>
      </c>
      <c r="H4" s="57" t="s">
        <v>170</v>
      </c>
      <c r="I4" s="57" t="s">
        <v>169</v>
      </c>
    </row>
    <row r="5" spans="1:10">
      <c r="A5" s="38">
        <v>1</v>
      </c>
      <c r="B5" s="38" t="s">
        <v>7</v>
      </c>
      <c r="C5" s="39"/>
      <c r="D5" s="39"/>
      <c r="E5" s="39"/>
      <c r="F5" s="39"/>
      <c r="G5" s="39"/>
      <c r="H5" s="39"/>
      <c r="I5" s="39"/>
    </row>
    <row r="6" spans="1:10">
      <c r="A6" s="38"/>
      <c r="B6" s="40" t="s">
        <v>368</v>
      </c>
      <c r="C6" s="39">
        <f>'6.Cons Profit &amp; Loss'!B15</f>
        <v>115469016.249856</v>
      </c>
      <c r="D6" s="39">
        <f>'6.Cons Profit &amp; Loss'!C15</f>
        <v>137366418.73335359</v>
      </c>
      <c r="E6" s="39">
        <f>'6.Cons Profit &amp; Loss'!D15</f>
        <v>159804903.91915733</v>
      </c>
      <c r="F6" s="39">
        <f>'6.Cons Profit &amp; Loss'!E15</f>
        <v>184143821.57670796</v>
      </c>
      <c r="G6" s="39">
        <f>'6.Cons Profit &amp; Loss'!F15</f>
        <v>210517118.74021587</v>
      </c>
      <c r="H6" s="39">
        <f>'6.Cons Profit &amp; Loss'!G15</f>
        <v>238895088.05519527</v>
      </c>
      <c r="I6" s="39">
        <f>'6.Cons Profit &amp; Loss'!H15</f>
        <v>269584561.50482202</v>
      </c>
    </row>
    <row r="7" spans="1:10">
      <c r="A7" s="38">
        <v>2</v>
      </c>
      <c r="B7" s="38" t="s">
        <v>232</v>
      </c>
      <c r="C7" s="39">
        <f>'1.Project Cost and MOF'!E21</f>
        <v>2434289.6947004739</v>
      </c>
      <c r="D7" s="39"/>
      <c r="E7" s="39"/>
      <c r="F7" s="39"/>
      <c r="G7" s="39"/>
      <c r="H7" s="39"/>
      <c r="I7" s="39"/>
    </row>
    <row r="8" spans="1:10">
      <c r="A8" s="38"/>
      <c r="B8" s="38" t="s">
        <v>293</v>
      </c>
      <c r="C8" s="39"/>
      <c r="D8" s="39"/>
      <c r="E8" s="39"/>
      <c r="F8" s="39"/>
      <c r="G8" s="39"/>
      <c r="H8" s="39"/>
      <c r="I8" s="39"/>
    </row>
    <row r="9" spans="1:10">
      <c r="A9" s="38">
        <v>3</v>
      </c>
      <c r="B9" s="38" t="str">
        <f>'7.Balance Sheet'!A34</f>
        <v>Smart Grant -in-Aid</v>
      </c>
      <c r="C9" s="39">
        <f>'1.Project Cost and MOF'!E19</f>
        <v>16830418.800000001</v>
      </c>
      <c r="D9" s="39"/>
      <c r="E9" s="39"/>
      <c r="F9" s="39"/>
      <c r="G9" s="39"/>
      <c r="H9" s="39"/>
      <c r="I9" s="39"/>
    </row>
    <row r="10" spans="1:10">
      <c r="A10" s="38">
        <v>4</v>
      </c>
      <c r="B10" s="38" t="s">
        <v>233</v>
      </c>
      <c r="C10" s="39">
        <f>'1.Project Cost and MOF'!E20</f>
        <v>9817744.2999999989</v>
      </c>
      <c r="D10" s="39"/>
      <c r="E10" s="39"/>
      <c r="F10" s="39"/>
      <c r="G10" s="39"/>
      <c r="H10" s="39"/>
      <c r="I10" s="39"/>
    </row>
    <row r="11" spans="1:10">
      <c r="A11" s="38">
        <v>5</v>
      </c>
      <c r="B11" s="38" t="s">
        <v>234</v>
      </c>
      <c r="C11" s="39">
        <f>'5.Closing Stock &amp; W Capital'!E55*75%</f>
        <v>3095264.3841014262</v>
      </c>
      <c r="D11" s="39">
        <f>'5.Closing Stock &amp; W Capital'!F55</f>
        <v>4893822.5851911008</v>
      </c>
      <c r="E11" s="39">
        <f>'5.Closing Stock &amp; W Capital'!G55</f>
        <v>5695214.7870142711</v>
      </c>
      <c r="F11" s="39">
        <f>'5.Closing Stock &amp; W Capital'!H55</f>
        <v>6564521.029890161</v>
      </c>
      <c r="G11" s="39">
        <f>'5.Closing Stock &amp; W Capital'!I55</f>
        <v>7506510.0138860559</v>
      </c>
      <c r="H11" s="39">
        <f>'5.Closing Stock &amp; W Capital'!J55</f>
        <v>8519680.307180997</v>
      </c>
      <c r="I11" s="39">
        <f>'5.Closing Stock &amp; W Capital'!K55</f>
        <v>9615409.6856863759</v>
      </c>
    </row>
    <row r="12" spans="1:10">
      <c r="A12" s="38"/>
      <c r="B12" s="38" t="s">
        <v>235</v>
      </c>
      <c r="C12" s="41">
        <f t="shared" ref="C12:I12" si="0">SUM(C6:C11)</f>
        <v>147646733.42865792</v>
      </c>
      <c r="D12" s="41">
        <f t="shared" si="0"/>
        <v>142260241.31854469</v>
      </c>
      <c r="E12" s="41">
        <f t="shared" si="0"/>
        <v>165500118.7061716</v>
      </c>
      <c r="F12" s="41">
        <f t="shared" si="0"/>
        <v>190708342.60659811</v>
      </c>
      <c r="G12" s="41">
        <f t="shared" si="0"/>
        <v>218023628.75410193</v>
      </c>
      <c r="H12" s="41">
        <f t="shared" si="0"/>
        <v>247414768.36237627</v>
      </c>
      <c r="I12" s="41">
        <f t="shared" si="0"/>
        <v>279199971.19050837</v>
      </c>
    </row>
    <row r="13" spans="1:10">
      <c r="A13" s="461" t="s">
        <v>236</v>
      </c>
      <c r="B13" s="461"/>
      <c r="C13" s="42"/>
      <c r="D13" s="42"/>
      <c r="E13" s="42"/>
      <c r="F13" s="42"/>
      <c r="G13" s="42"/>
      <c r="H13" s="42"/>
      <c r="I13" s="42"/>
    </row>
    <row r="14" spans="1:10">
      <c r="A14" s="38">
        <v>1</v>
      </c>
      <c r="B14" s="38" t="s">
        <v>237</v>
      </c>
      <c r="C14" s="42"/>
      <c r="D14" s="42"/>
      <c r="E14" s="42"/>
      <c r="F14" s="42"/>
      <c r="G14" s="42"/>
      <c r="H14" s="42"/>
      <c r="I14" s="42"/>
    </row>
    <row r="15" spans="1:10">
      <c r="A15" s="43" t="s">
        <v>238</v>
      </c>
      <c r="B15" s="42" t="str">
        <f>'[1]Total Cost of Project'!C3</f>
        <v>Land and Building</v>
      </c>
      <c r="C15" s="44">
        <f>'1.Project Cost and MOF'!D5</f>
        <v>18073000</v>
      </c>
      <c r="D15" s="44"/>
      <c r="E15" s="44"/>
      <c r="F15" s="44"/>
      <c r="G15" s="44"/>
      <c r="H15" s="44"/>
      <c r="I15" s="44"/>
    </row>
    <row r="16" spans="1:10">
      <c r="A16" s="43" t="s">
        <v>239</v>
      </c>
      <c r="B16" s="45" t="str">
        <f>'[1]Total Cost of Project'!C4</f>
        <v>Machinery and Equipment</v>
      </c>
      <c r="C16" s="44">
        <f>'1.Project Cost and MOF'!D6</f>
        <v>8619918</v>
      </c>
      <c r="D16" s="44"/>
      <c r="E16" s="44"/>
      <c r="F16" s="44"/>
      <c r="G16" s="44"/>
      <c r="H16" s="44"/>
      <c r="I16" s="44"/>
    </row>
    <row r="17" spans="1:9">
      <c r="A17" s="43" t="s">
        <v>276</v>
      </c>
      <c r="B17" s="45" t="s">
        <v>334</v>
      </c>
      <c r="C17" s="44">
        <f>'1.Project Cost and MOF'!D7</f>
        <v>102900</v>
      </c>
      <c r="D17" s="44"/>
      <c r="E17" s="44"/>
      <c r="F17" s="44"/>
      <c r="G17" s="44"/>
      <c r="H17" s="44"/>
      <c r="I17" s="44"/>
    </row>
    <row r="18" spans="1:9">
      <c r="A18" s="43" t="s">
        <v>278</v>
      </c>
      <c r="B18" s="45" t="s">
        <v>336</v>
      </c>
      <c r="C18" s="44">
        <f>'1.Project Cost and MOF'!D8</f>
        <v>290980</v>
      </c>
      <c r="D18" s="44"/>
      <c r="E18" s="44"/>
      <c r="F18" s="44"/>
      <c r="G18" s="44"/>
      <c r="H18" s="44"/>
      <c r="I18" s="44"/>
    </row>
    <row r="19" spans="1:9">
      <c r="A19" s="43" t="s">
        <v>337</v>
      </c>
      <c r="B19" s="45" t="s">
        <v>277</v>
      </c>
      <c r="C19" s="44">
        <f>'1.Project Cost and MOF'!D9</f>
        <v>0</v>
      </c>
      <c r="D19" s="39"/>
      <c r="E19" s="39"/>
      <c r="F19" s="39"/>
      <c r="G19" s="39"/>
      <c r="H19" s="39"/>
      <c r="I19" s="39"/>
    </row>
    <row r="20" spans="1:9">
      <c r="A20" s="43" t="s">
        <v>338</v>
      </c>
      <c r="B20" s="45" t="s">
        <v>279</v>
      </c>
      <c r="C20" s="44">
        <f>'1.Project Cost and MOF'!D10</f>
        <v>963900</v>
      </c>
      <c r="D20" s="39"/>
      <c r="E20" s="39"/>
      <c r="F20" s="39"/>
      <c r="G20" s="39"/>
      <c r="H20" s="39"/>
      <c r="I20" s="39"/>
    </row>
    <row r="21" spans="1:9">
      <c r="A21" s="38">
        <v>2</v>
      </c>
      <c r="B21" s="38" t="s">
        <v>240</v>
      </c>
      <c r="C21" s="42"/>
      <c r="D21" s="42"/>
      <c r="E21" s="42"/>
      <c r="F21" s="42"/>
      <c r="G21" s="42"/>
      <c r="H21" s="42"/>
      <c r="I21" s="42"/>
    </row>
    <row r="22" spans="1:9">
      <c r="A22" s="43" t="s">
        <v>238</v>
      </c>
      <c r="B22" s="42" t="s">
        <v>313</v>
      </c>
      <c r="C22" s="71">
        <f>'6.Cons Profit &amp; Loss'!B25</f>
        <v>110629759.82359678</v>
      </c>
      <c r="D22" s="71">
        <f>'6.Cons Profit &amp; Loss'!C25</f>
        <v>131868199.13397193</v>
      </c>
      <c r="E22" s="71">
        <f>'6.Cons Profit &amp; Loss'!D25</f>
        <v>153677816.17443615</v>
      </c>
      <c r="F22" s="71">
        <f>'6.Cons Profit &amp; Loss'!E25</f>
        <v>177344461.18394434</v>
      </c>
      <c r="G22" s="71">
        <f>'6.Cons Profit &amp; Loss'!F25</f>
        <v>202987552.55299321</v>
      </c>
      <c r="H22" s="71">
        <f>'6.Cons Profit &amp; Loss'!G25</f>
        <v>230751466.53867239</v>
      </c>
      <c r="I22" s="71">
        <f>'6.Cons Profit &amp; Loss'!H25</f>
        <v>260791075.69729137</v>
      </c>
    </row>
    <row r="23" spans="1:9">
      <c r="A23" s="43" t="s">
        <v>239</v>
      </c>
      <c r="B23" s="42" t="s">
        <v>311</v>
      </c>
      <c r="C23" s="39">
        <f>'6.Cons Profit &amp; Loss'!B36</f>
        <v>2145880</v>
      </c>
      <c r="D23" s="39">
        <f>'6.Cons Profit &amp; Loss'!C36</f>
        <v>2193974</v>
      </c>
      <c r="E23" s="39">
        <f>'6.Cons Profit &amp; Loss'!D36</f>
        <v>2281208.7999999998</v>
      </c>
      <c r="F23" s="39">
        <f>'6.Cons Profit &amp; Loss'!E36</f>
        <v>2335734.6425000001</v>
      </c>
      <c r="G23" s="39">
        <f>'6.Cons Profit &amp; Loss'!F36</f>
        <v>2429750.9672500002</v>
      </c>
      <c r="H23" s="39">
        <f>'6.Cons Profit &amp; Loss'!G36</f>
        <v>2484764.7156125</v>
      </c>
      <c r="I23" s="39">
        <f>'6.Cons Profit &amp; Loss'!H36</f>
        <v>2570027.2013931256</v>
      </c>
    </row>
    <row r="24" spans="1:9">
      <c r="A24" s="46">
        <v>3</v>
      </c>
      <c r="B24" s="38" t="s">
        <v>517</v>
      </c>
      <c r="C24" s="39"/>
      <c r="D24" s="39"/>
      <c r="E24" s="39"/>
      <c r="F24" s="39"/>
      <c r="G24" s="39"/>
      <c r="H24" s="39"/>
      <c r="I24" s="39"/>
    </row>
    <row r="25" spans="1:9">
      <c r="A25" s="43"/>
      <c r="B25" s="42" t="s">
        <v>241</v>
      </c>
      <c r="C25" s="39">
        <f>SUM('4.TL repayment sch'!E10:E21)</f>
        <v>0</v>
      </c>
      <c r="D25" s="39">
        <f>SUM('4.TL repayment sch'!E22:E33)</f>
        <v>1189128.5786236911</v>
      </c>
      <c r="E25" s="39">
        <f>SUM('4.TL repayment sch'!E34:E45)</f>
        <v>1339939.8464384268</v>
      </c>
      <c r="F25" s="39">
        <f>SUM('4.TL repayment sch'!E46:E57)</f>
        <v>1509877.7578380073</v>
      </c>
      <c r="G25" s="39">
        <f>SUM('4.TL repayment sch'!E58:E69)</f>
        <v>1701368.0499714033</v>
      </c>
      <c r="H25" s="39">
        <f>SUM('4.TL repayment sch'!E70:E81)</f>
        <v>1917144.1041745974</v>
      </c>
      <c r="I25" s="39">
        <f>SUM('4.TL repayment sch'!E82:E93)</f>
        <v>2160285.9629538688</v>
      </c>
    </row>
    <row r="26" spans="1:9">
      <c r="A26" s="43"/>
      <c r="B26" s="42" t="s">
        <v>242</v>
      </c>
      <c r="C26" s="39">
        <f>SUM('4.TL repayment sch'!D10:D21)</f>
        <v>1178129.3159999999</v>
      </c>
      <c r="D26" s="39">
        <f>SUM('4.TL repayment sch'!D22:D33)</f>
        <v>1114136.9134636237</v>
      </c>
      <c r="E26" s="39">
        <f>SUM('4.TL repayment sch'!D34:D45)</f>
        <v>963325.64564888808</v>
      </c>
      <c r="F26" s="39">
        <f>SUM('4.TL repayment sch'!D46:D57)</f>
        <v>793387.73424930754</v>
      </c>
      <c r="G26" s="39">
        <f>SUM('4.TL repayment sch'!D58:D69)</f>
        <v>601897.4421159114</v>
      </c>
      <c r="H26" s="39">
        <f>SUM('4.TL repayment sch'!D70:D81)</f>
        <v>386121.38791271759</v>
      </c>
      <c r="I26" s="39">
        <f>SUM('4.TL repayment sch'!D82:D93)</f>
        <v>142979.52913344619</v>
      </c>
    </row>
    <row r="27" spans="1:9">
      <c r="A27" s="43"/>
      <c r="B27" s="42" t="s">
        <v>243</v>
      </c>
      <c r="C27" s="39">
        <f t="shared" ref="C27:I27" si="1">C11</f>
        <v>3095264.3841014262</v>
      </c>
      <c r="D27" s="39">
        <f t="shared" si="1"/>
        <v>4893822.5851911008</v>
      </c>
      <c r="E27" s="39">
        <f t="shared" si="1"/>
        <v>5695214.7870142711</v>
      </c>
      <c r="F27" s="39">
        <f t="shared" si="1"/>
        <v>6564521.029890161</v>
      </c>
      <c r="G27" s="39">
        <f t="shared" si="1"/>
        <v>7506510.0138860559</v>
      </c>
      <c r="H27" s="39">
        <f t="shared" si="1"/>
        <v>8519680.307180997</v>
      </c>
      <c r="I27" s="39">
        <f t="shared" si="1"/>
        <v>9615409.6856863759</v>
      </c>
    </row>
    <row r="28" spans="1:9">
      <c r="A28" s="43"/>
      <c r="B28" s="42" t="s">
        <v>244</v>
      </c>
      <c r="C28" s="47">
        <f>C27*12%</f>
        <v>371431.72609217116</v>
      </c>
      <c r="D28" s="47">
        <f t="shared" ref="D28:G28" si="2">D27*12%</f>
        <v>587258.71022293204</v>
      </c>
      <c r="E28" s="47">
        <f t="shared" si="2"/>
        <v>683425.77444171254</v>
      </c>
      <c r="F28" s="47">
        <f t="shared" si="2"/>
        <v>787742.5235868193</v>
      </c>
      <c r="G28" s="47">
        <f t="shared" si="2"/>
        <v>900781.20166632673</v>
      </c>
      <c r="H28" s="47">
        <f t="shared" ref="H28:I28" si="3">H27*12%</f>
        <v>1022361.6368617197</v>
      </c>
      <c r="I28" s="47">
        <f t="shared" si="3"/>
        <v>1153849.1622823651</v>
      </c>
    </row>
    <row r="29" spans="1:9">
      <c r="A29" s="38">
        <v>4</v>
      </c>
      <c r="B29" s="38" t="s">
        <v>245</v>
      </c>
      <c r="C29" s="39">
        <f>'6.Cons Profit &amp; Loss'!B50</f>
        <v>0</v>
      </c>
      <c r="D29" s="39">
        <f>'6.Cons Profit &amp; Loss'!C50</f>
        <v>47904</v>
      </c>
      <c r="E29" s="39">
        <f>'6.Cons Profit &amp; Loss'!D50</f>
        <v>161197</v>
      </c>
      <c r="F29" s="39">
        <f>'6.Cons Profit &amp; Loss'!E50</f>
        <v>291037</v>
      </c>
      <c r="G29" s="39">
        <f>'6.Cons Profit &amp; Loss'!F50</f>
        <v>426819</v>
      </c>
      <c r="H29" s="39">
        <f>'6.Cons Profit &amp; Loss'!G50</f>
        <v>674530.71494348533</v>
      </c>
      <c r="I29" s="39">
        <f>'6.Cons Profit &amp; Loss'!H50</f>
        <v>901578.07938006124</v>
      </c>
    </row>
    <row r="30" spans="1:9">
      <c r="A30" s="38"/>
      <c r="B30" s="38" t="s">
        <v>769</v>
      </c>
      <c r="C30" s="39">
        <f>'5.Closing Stock &amp; W Capital'!E56</f>
        <v>1031754.7947004754</v>
      </c>
      <c r="D30" s="39">
        <f>-C30</f>
        <v>-1031754.7947004754</v>
      </c>
      <c r="E30" s="39"/>
      <c r="F30" s="39"/>
      <c r="G30" s="39"/>
      <c r="H30" s="39"/>
      <c r="I30" s="39"/>
    </row>
    <row r="31" spans="1:9">
      <c r="A31" s="38"/>
      <c r="B31" s="38" t="s">
        <v>246</v>
      </c>
      <c r="C31" s="48">
        <f>SUM(C15:C29)+C30</f>
        <v>146502918.04449084</v>
      </c>
      <c r="D31" s="48">
        <f>SUM(D15:D29)+D30</f>
        <v>140862669.12677279</v>
      </c>
      <c r="E31" s="48">
        <f t="shared" ref="E31:I31" si="4">SUM(E15:E29)</f>
        <v>164802128.02797949</v>
      </c>
      <c r="F31" s="48">
        <f t="shared" si="4"/>
        <v>189626761.87200862</v>
      </c>
      <c r="G31" s="48">
        <f t="shared" si="4"/>
        <v>216554679.22788289</v>
      </c>
      <c r="H31" s="48">
        <f t="shared" si="4"/>
        <v>245756069.4053584</v>
      </c>
      <c r="I31" s="48">
        <f t="shared" si="4"/>
        <v>277335205.31812054</v>
      </c>
    </row>
    <row r="32" spans="1:9">
      <c r="A32" s="38"/>
      <c r="B32" s="38" t="s">
        <v>247</v>
      </c>
      <c r="C32" s="48">
        <f t="shared" ref="C32:I32" si="5">C12-C31</f>
        <v>1143815.3841670752</v>
      </c>
      <c r="D32" s="48">
        <f t="shared" si="5"/>
        <v>1397572.1917718947</v>
      </c>
      <c r="E32" s="48">
        <f t="shared" si="5"/>
        <v>697990.67819210887</v>
      </c>
      <c r="F32" s="48">
        <f t="shared" si="5"/>
        <v>1081580.7345894873</v>
      </c>
      <c r="G32" s="48">
        <f t="shared" si="5"/>
        <v>1468949.5262190402</v>
      </c>
      <c r="H32" s="48">
        <f t="shared" si="5"/>
        <v>1658698.9570178688</v>
      </c>
      <c r="I32" s="48">
        <f t="shared" si="5"/>
        <v>1864765.8723878264</v>
      </c>
    </row>
    <row r="33" spans="1:10">
      <c r="A33" s="46"/>
      <c r="B33" s="42" t="s">
        <v>248</v>
      </c>
      <c r="C33" s="42"/>
      <c r="D33" s="49">
        <f t="shared" ref="D33:I33" si="6">C34</f>
        <v>1143815.3841670752</v>
      </c>
      <c r="E33" s="49">
        <f t="shared" si="6"/>
        <v>2541387.5759389699</v>
      </c>
      <c r="F33" s="49">
        <f t="shared" si="6"/>
        <v>3239378.2541310787</v>
      </c>
      <c r="G33" s="49">
        <f t="shared" si="6"/>
        <v>4320958.988720566</v>
      </c>
      <c r="H33" s="49">
        <f t="shared" si="6"/>
        <v>5789908.5149396062</v>
      </c>
      <c r="I33" s="49">
        <f t="shared" si="6"/>
        <v>7448607.4719574749</v>
      </c>
    </row>
    <row r="34" spans="1:10">
      <c r="A34" s="38"/>
      <c r="B34" s="50" t="s">
        <v>249</v>
      </c>
      <c r="C34" s="48">
        <f t="shared" ref="C34:I34" si="7">C32+C33</f>
        <v>1143815.3841670752</v>
      </c>
      <c r="D34" s="48">
        <f t="shared" si="7"/>
        <v>2541387.5759389699</v>
      </c>
      <c r="E34" s="48">
        <f t="shared" si="7"/>
        <v>3239378.2541310787</v>
      </c>
      <c r="F34" s="48">
        <f t="shared" si="7"/>
        <v>4320958.988720566</v>
      </c>
      <c r="G34" s="48">
        <f t="shared" si="7"/>
        <v>5789908.5149396062</v>
      </c>
      <c r="H34" s="48">
        <f t="shared" si="7"/>
        <v>7448607.4719574749</v>
      </c>
      <c r="I34" s="48">
        <f t="shared" si="7"/>
        <v>9313373.3443453014</v>
      </c>
    </row>
    <row r="36" spans="1:10" ht="39.9" customHeight="1">
      <c r="A36" s="462" t="s">
        <v>416</v>
      </c>
      <c r="B36" s="462"/>
      <c r="C36" s="462"/>
      <c r="D36" s="462"/>
      <c r="E36" s="462"/>
      <c r="F36" s="462"/>
      <c r="G36" s="462"/>
      <c r="H36" s="462"/>
      <c r="I36" s="462"/>
      <c r="J36" s="462"/>
    </row>
    <row r="38" spans="1:10">
      <c r="C38" s="65"/>
    </row>
    <row r="39" spans="1:10">
      <c r="C39" s="65"/>
    </row>
    <row r="40" spans="1:10">
      <c r="C40" s="65"/>
    </row>
    <row r="41" spans="1:10">
      <c r="C41" s="65"/>
    </row>
    <row r="42" spans="1:10">
      <c r="C42" s="65"/>
    </row>
  </sheetData>
  <mergeCells count="4">
    <mergeCell ref="A1:G1"/>
    <mergeCell ref="A13:B13"/>
    <mergeCell ref="A2:I2"/>
    <mergeCell ref="A36:J36"/>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2022-05-31T08:10:45Z</dcterms:modified>
</cp:coreProperties>
</file>